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LRØD SPILDEVAND AS (S08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<sst xmlns="http://schemas.openxmlformats.org/spreadsheetml/2006/main" count="712" uniqueCount="288">
  <si>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</si>
  <si>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</si>
  <si>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</si>
  <si>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</si>
  <si>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</si>
  <si>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</si>
  <si>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</si>
  <si>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</si>
  <si>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</si>
  <si>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</si>
  <si>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</si>
  <si>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</si>
  <si>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</si>
  <si>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</si>
  <si>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</si>
  <si>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</si>
  <si>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</si>
  <si>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</si>
  <si>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</si>
  <si>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</si>
  <si>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</si>
  <si>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</si>
  <si>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</si>
  <si>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</si>
  <si>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</si>
  <si>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</si>
  <si>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</si>
  <si>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</si>
  <si>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</si>
  <si>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</si>
  <si>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</si>
  <si>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</si>
  <si>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</si>
  <si>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</si>
  <si>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</si>
  <si>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</si>
  <si>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</si>
  <si>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</si>
  <si>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</si>
  <si>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</si>
  <si>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</si>
  <si>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</si>
  <si>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</si>
  <si>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</si>
  <si>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</si>
  <si>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</si>
  <si>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</si>
  <si>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</si>
  <si>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</si>
  <si>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</si>
  <si>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</si>
  <si>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</si>
  <si>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</si>
  <si>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</si>
  <si>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</si>
  <si>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</si>
  <si>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</si>
  <si>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</si>
  <si>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</si>
  <si>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</si>
  <si>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</si>
  <si>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</si>
  <si>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</si>
  <si>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</si>
  <si>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</si>
  <si>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</si>
  <si>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</si>
  <si>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</si>
  <si>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</si>
  <si>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</si>
  <si>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</si>
  <si>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</si>
  <si>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</si>
  <si>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</si>
  <si>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</si>
  <si>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</si>
  <si>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</si>
  <si>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</si>
  <si>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</si>
  <si>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</si>
  <si>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</si>
  <si>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</si>
  <si>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</si>
  <si>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</si>
  <si>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</si>
  <si>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</si>
  <si>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</si>
  <si>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</si>
  <si>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</si>
  <si>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</si>
  <si>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</si>
  <si>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</si>
  <si>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</si>
  <si>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</si>
  <si>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</si>
  <si>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</si>
  <si>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</si>
  <si>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</si>
  <si>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</si>
  <si>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</si>
  <si>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</si>
  <si>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</si>
  <si>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</si>
  <si>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</si>
  <si>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</si>
  <si>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</si>
  <si>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</si>
  <si>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</si>
  <si>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</si>
  <si>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</si>
  <si>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</si>
  <si>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</si>
  <si>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</si>
  <si>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</si>
  <si>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</si>
  <si>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</si>
  <si>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</si>
  <si>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</si>
  <si>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</si>
  <si>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</si>
  <si>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</si>
  <si>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</si>
  <si>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</si>
  <si>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</si>
  <si>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</si>
  <si>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</si>
  <si>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</si>
  <si>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</si>
  <si>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</si>
  <si>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</si>
  <si>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</si>
  <si>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</si>
  <si>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</si>
  <si>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</si>
  <si>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</si>
  <si>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</si>
  <si>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</si>
  <si>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</si>
  <si>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</si>
  <si>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</si>
  <si>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</si>
  <si>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</si>
  <si>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</si>
  <si>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</si>
  <si>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</si>
  <si>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</si>
  <si>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</si>
  <si>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</si>
  <si>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</si>
  <si>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</si>
  <si>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</si>
  <si>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</si>
  <si>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</si>
  <si>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</si>
  <si>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</si>
  <si>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</si>
  <si>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</si>
  <si>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</si>
  <si>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</si>
  <si>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</si>
  <si>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</si>
  <si>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</si>
  <si>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</si>
  <si>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</si>
  <si>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</si>
  <si>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</si>
  <si>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</si>
  <si>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</si>
  <si>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</si>
  <si>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</si>
  <si>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</si>
  <si>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</si>
  <si>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</si>
  <si>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</si>
  <si>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</si>
  <si>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</si>
  <si>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</si>
  <si>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</si>
  <si>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</si>
  <si>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</si>
  <si>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</si>
  <si>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</si>
  <si>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</si>
  <si>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</si>
  <si>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</si>
  <si>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</si>
  <si>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</si>
  <si>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</si>
  <si>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</si>
  <si>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</si>
  <si>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</si>
  <si>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</si>
  <si>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</si>
  <si>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</si>
  <si>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</si>
  <si>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</si>
  <si>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</si>
  <si>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</si>
  <si>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</si>
  <si>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</si>
  <si>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</si>
  <si>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</si>
  <si>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</si>
  <si>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</si>
  <si>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</si>
  <si>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</si>
  <si>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</si>
  <si>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</si>
  <si>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</si>
  <si>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</si>
  <si>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</si>
  <si>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</si>
  <si>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</si>
  <si>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</si>
  <si>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</si>
  <si>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</si>
  <si>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</si>
  <si>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</si>
  <si>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</si>
  <si>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</si>
  <si>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</si>
  <si>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</si>
  <si>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</si>
  <si>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</si>
  <si>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</si>
  <si>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</si>
  <si>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</si>
  <si>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</si>
  <si>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</si>
  <si>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</si>
  <si>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</si>
  <si>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</si>
  <si>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</si>
  <si>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</si>
  <si>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</si>
  <si>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</si>
  <si>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</si>
  <si>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</si>
  <si>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</si>
  <si>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</si>
  <si>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</si>
  <si>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</si>
  <si>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</si>
  <si>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</si>
  <si>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</si>
  <si>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</si>
  <si>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</si>
  <si>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</si>
  <si>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</si>
  <si>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</si>
  <si>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</si>
  <si>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</si>
  <si>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</si>
  <si>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</si>
  <si>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</si>
  <si>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</si>
  <si>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</si>
  <si>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</si>
  <si>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</si>
  <si>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</si>
  <si>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</si>
  <si>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</si>
  <si>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</si>
  <si>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</si>
  <si>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</si>
  <si>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Selskabsskat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</si>
  <si>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</si>
  <si>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</si>
  <si>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</si>
  <si>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</si>
  <si>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</si>
  <si>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</si>
  <si>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</si>
  <si>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</si>
  <si>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</si>
  <si>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</si>
  <si>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</si>
  <si>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</si>
  <si>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</si>
  <si>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</si>
  <si>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 af forsyningsområde</t>
  </si>
  <si>
    <t>Havdrup, Munkebjerg, Birkeengen og Kirsebærhaven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</si>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</sst>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wrapText="1"/>
    </xf>
    <xf numFmtId="3" fontId="0" fillId="0" borderId="0" xfId="0" applyNumberForma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4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5">
      <c r="A8" s="1"/>
      <c r="B8" s="1"/>
      <c r="C8" s="4"/>
      <c r="D8" s="88" t="s">
        <v>286</v>
      </c>
      <c r="E8" s="88"/>
      <c r="F8" s="88"/>
      <c r="G8" s="8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7" t="s">
        <v>5</v>
      </c>
      <c r="E11" s="87"/>
      <c r="F11" s="87"/>
      <c r="G11" s="8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80" t="s">
        <v>245</v>
      </c>
      <c r="E13" s="81"/>
      <c r="F13" s="81"/>
      <c r="G13" s="82"/>
      <c r="H13" s="1"/>
      <c r="I13" s="1"/>
    </row>
    <row r="14" spans="1:9" x14ac:dyDescent="0.45">
      <c r="A14" s="1"/>
      <c r="B14" s="1"/>
      <c r="C14" s="6" t="s">
        <v>17</v>
      </c>
      <c r="D14" s="80" t="s">
        <v>246</v>
      </c>
      <c r="E14" s="81"/>
      <c r="F14" s="81"/>
      <c r="G14" s="82"/>
      <c r="H14" s="1"/>
      <c r="I14" s="1"/>
    </row>
    <row r="15" spans="1:9" x14ac:dyDescent="0.45">
      <c r="A15" s="1"/>
      <c r="B15" s="1"/>
      <c r="C15" s="6" t="s">
        <v>37</v>
      </c>
      <c r="D15" s="80" t="s">
        <v>160</v>
      </c>
      <c r="E15" s="81"/>
      <c r="F15" s="81"/>
      <c r="G15" s="82"/>
      <c r="H15" s="1"/>
      <c r="I15" s="1"/>
    </row>
    <row r="16" spans="1:9" x14ac:dyDescent="0.45">
      <c r="A16" s="1"/>
      <c r="B16" s="1"/>
      <c r="C16" s="6" t="s">
        <v>38</v>
      </c>
      <c r="D16" s="80" t="s">
        <v>247</v>
      </c>
      <c r="E16" s="81"/>
      <c r="F16" s="81"/>
      <c r="G16" s="82"/>
      <c r="H16" s="1"/>
      <c r="I16" s="1"/>
    </row>
    <row r="17" spans="1:9" x14ac:dyDescent="0.45">
      <c r="A17" s="1"/>
      <c r="B17" s="1"/>
      <c r="C17" s="6" t="s">
        <v>144</v>
      </c>
      <c r="D17" s="80" t="s">
        <v>248</v>
      </c>
      <c r="E17" s="81"/>
      <c r="F17" s="81"/>
      <c r="G17" s="82"/>
      <c r="H17" s="1"/>
      <c r="I17" s="1"/>
    </row>
    <row r="18" spans="1:9" x14ac:dyDescent="0.45">
      <c r="A18" s="1"/>
      <c r="B18" s="1"/>
      <c r="C18" s="6" t="s">
        <v>124</v>
      </c>
      <c r="D18" s="77" t="s">
        <v>110</v>
      </c>
      <c r="E18" s="78"/>
      <c r="F18" s="78"/>
      <c r="G18" s="79"/>
      <c r="H18" s="1"/>
      <c r="I18" s="1"/>
    </row>
    <row r="19" spans="1:9" x14ac:dyDescent="0.45">
      <c r="A19" s="1"/>
      <c r="B19" s="1"/>
      <c r="C19" s="6" t="s">
        <v>125</v>
      </c>
      <c r="D19" s="77" t="s">
        <v>111</v>
      </c>
      <c r="E19" s="78"/>
      <c r="F19" s="78"/>
      <c r="G19" s="79"/>
      <c r="H19" s="1"/>
      <c r="I19" s="1"/>
    </row>
    <row r="20" spans="1:9" x14ac:dyDescent="0.45">
      <c r="A20" s="1"/>
      <c r="B20" s="1"/>
      <c r="C20" s="6" t="s">
        <v>7</v>
      </c>
      <c r="D20" s="77" t="s">
        <v>10</v>
      </c>
      <c r="E20" s="78"/>
      <c r="F20" s="78"/>
      <c r="G20" s="79"/>
      <c r="H20" s="1"/>
      <c r="I20" s="1"/>
    </row>
    <row r="21" spans="1:9" x14ac:dyDescent="0.45">
      <c r="A21" s="1"/>
      <c r="B21" s="1"/>
      <c r="C21" s="6" t="s">
        <v>126</v>
      </c>
      <c r="D21" s="84" t="s">
        <v>13</v>
      </c>
      <c r="E21" s="85"/>
      <c r="F21" s="85"/>
      <c r="G21" s="86"/>
      <c r="H21" s="1"/>
      <c r="I21" s="1"/>
    </row>
    <row r="22" spans="1:9" x14ac:dyDescent="0.45">
      <c r="A22" s="1"/>
      <c r="B22" s="1"/>
      <c r="C22" s="6" t="s">
        <v>91</v>
      </c>
      <c r="D22" s="71" t="s">
        <v>249</v>
      </c>
      <c r="E22" s="72"/>
      <c r="F22" s="72"/>
      <c r="G22" s="73"/>
      <c r="H22" s="1"/>
      <c r="I22" s="1"/>
    </row>
    <row r="23" spans="1:9" x14ac:dyDescent="0.45">
      <c r="A23" s="1"/>
      <c r="B23" s="1"/>
      <c r="C23" s="6" t="s">
        <v>8</v>
      </c>
      <c r="D23" s="71" t="s">
        <v>195</v>
      </c>
      <c r="E23" s="72"/>
      <c r="F23" s="72"/>
      <c r="G23" s="73"/>
      <c r="H23" s="1"/>
      <c r="I23" s="1"/>
    </row>
    <row r="24" spans="1:9" x14ac:dyDescent="0.4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45">
      <c r="A25" s="1"/>
      <c r="B25" s="1"/>
      <c r="C25" s="6" t="s">
        <v>127</v>
      </c>
      <c r="D25" s="71" t="s">
        <v>92</v>
      </c>
      <c r="E25" s="72"/>
      <c r="F25" s="72"/>
      <c r="G25" s="73"/>
      <c r="H25" s="1"/>
      <c r="I25" s="1"/>
    </row>
    <row r="26" spans="1:9" x14ac:dyDescent="0.45">
      <c r="A26" s="1"/>
      <c r="B26" s="1"/>
      <c r="C26" s="6" t="s">
        <v>128</v>
      </c>
      <c r="D26" s="71" t="s">
        <v>93</v>
      </c>
      <c r="E26" s="72"/>
      <c r="F26" s="72"/>
      <c r="G26" s="73"/>
      <c r="H26" s="1"/>
      <c r="I26" s="1"/>
    </row>
    <row r="27" spans="1:9" x14ac:dyDescent="0.45">
      <c r="A27" s="1"/>
      <c r="B27" s="1"/>
      <c r="C27" s="6" t="s">
        <v>129</v>
      </c>
      <c r="D27" s="71" t="s">
        <v>94</v>
      </c>
      <c r="E27" s="72"/>
      <c r="F27" s="72"/>
      <c r="G27" s="73"/>
      <c r="H27" s="1"/>
      <c r="I27" s="1"/>
    </row>
    <row r="28" spans="1:9" x14ac:dyDescent="0.45">
      <c r="A28" s="1"/>
      <c r="B28" s="1"/>
      <c r="C28" s="6" t="s">
        <v>16</v>
      </c>
      <c r="D28" s="71" t="s">
        <v>161</v>
      </c>
      <c r="E28" s="72"/>
      <c r="F28" s="72"/>
      <c r="G28" s="73"/>
      <c r="H28" s="1"/>
      <c r="I28" s="1"/>
    </row>
    <row r="29" spans="1:9" x14ac:dyDescent="0.4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45">
      <c r="A30" s="1"/>
      <c r="B30" s="1"/>
      <c r="C30" s="6" t="s">
        <v>42</v>
      </c>
      <c r="D30" s="74" t="s">
        <v>123</v>
      </c>
      <c r="E30" s="75"/>
      <c r="F30" s="75"/>
      <c r="G30" s="7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6UQ7v8FW4Wpm7pVej8diEXLH+jHxmoMwBJSp0sWDGSqRiyzS7Uo+DeycYG+Kl97JR70F90bsDoOFDjgppYDag==" saltValue="cLYqXRUGymA5OLghn4pVj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9" t="s">
        <v>132</v>
      </c>
      <c r="C3" s="89"/>
      <c r="D3" s="89"/>
      <c r="E3" s="1"/>
      <c r="F3" s="1"/>
    </row>
    <row r="4" spans="1:6" ht="15" customHeight="1" x14ac:dyDescent="0.45">
      <c r="A4" s="1"/>
      <c r="B4" s="89"/>
      <c r="C4" s="89"/>
      <c r="D4" s="8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1" t="s">
        <v>208</v>
      </c>
      <c r="C8" s="102"/>
      <c r="D8" s="103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4" t="s">
        <v>262</v>
      </c>
      <c r="C10" s="9">
        <v>474772</v>
      </c>
      <c r="D10" s="14" t="s">
        <v>3</v>
      </c>
      <c r="E10" s="1"/>
      <c r="F10" s="1"/>
    </row>
    <row r="11" spans="1:6" ht="15" customHeight="1" x14ac:dyDescent="0.45">
      <c r="A11" s="1"/>
      <c r="B11" s="64" t="s">
        <v>263</v>
      </c>
      <c r="C11" s="9">
        <v>55195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276408.5</v>
      </c>
      <c r="D12" s="14" t="s">
        <v>3</v>
      </c>
      <c r="E12" s="1"/>
      <c r="F12" s="1"/>
    </row>
    <row r="13" spans="1:6" x14ac:dyDescent="0.45">
      <c r="A13" s="1"/>
      <c r="B13" s="64" t="s">
        <v>265</v>
      </c>
      <c r="C13" s="9">
        <v>7239.98</v>
      </c>
      <c r="D13" s="14" t="s">
        <v>3</v>
      </c>
      <c r="E13" s="1"/>
      <c r="F13" s="1"/>
    </row>
    <row r="14" spans="1:6" x14ac:dyDescent="0.45">
      <c r="A14" s="1"/>
      <c r="B14" s="64" t="s">
        <v>266</v>
      </c>
      <c r="C14" s="9">
        <v>67180.66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880796.14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886618.98639396473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01" t="s">
        <v>142</v>
      </c>
      <c r="C19" s="102"/>
      <c r="D19" s="103"/>
      <c r="E19" s="1"/>
      <c r="F19" s="1"/>
    </row>
    <row r="20" spans="1:6" x14ac:dyDescent="0.45">
      <c r="A20" s="1"/>
      <c r="B20" s="64" t="s">
        <v>116</v>
      </c>
      <c r="C20" s="9">
        <v>135782</v>
      </c>
      <c r="D20" s="14" t="s">
        <v>3</v>
      </c>
      <c r="E20" s="1"/>
      <c r="F20" s="1"/>
    </row>
    <row r="21" spans="1:6" x14ac:dyDescent="0.45">
      <c r="A21" s="1"/>
      <c r="B21" s="64" t="s">
        <v>117</v>
      </c>
      <c r="C21" s="9">
        <v>135782</v>
      </c>
      <c r="D21" s="14" t="s">
        <v>3</v>
      </c>
      <c r="E21" s="1"/>
      <c r="F21" s="1"/>
    </row>
    <row r="22" spans="1:6" x14ac:dyDescent="0.45">
      <c r="A22" s="1"/>
      <c r="B22" s="64" t="s">
        <v>154</v>
      </c>
      <c r="C22" s="9">
        <v>135782</v>
      </c>
      <c r="D22" s="14" t="s">
        <v>3</v>
      </c>
      <c r="E22" s="1"/>
      <c r="F22" s="1"/>
    </row>
    <row r="23" spans="1:6" x14ac:dyDescent="0.45">
      <c r="A23" s="1"/>
      <c r="B23" s="64" t="s">
        <v>211</v>
      </c>
      <c r="C23" s="9">
        <v>135782</v>
      </c>
      <c r="D23" s="14" t="s">
        <v>3</v>
      </c>
      <c r="E23" s="1"/>
      <c r="F23" s="1"/>
    </row>
    <row r="24" spans="1:6" x14ac:dyDescent="0.45">
      <c r="A24" s="1"/>
      <c r="B24" s="101"/>
      <c r="C24" s="102"/>
      <c r="D24" s="103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01" t="s">
        <v>115</v>
      </c>
      <c r="C27" s="102"/>
      <c r="D27" s="103"/>
      <c r="E27" s="1"/>
      <c r="F27" s="1"/>
    </row>
    <row r="28" spans="1:6" x14ac:dyDescent="0.45">
      <c r="A28" s="1"/>
      <c r="B28" s="64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4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4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101"/>
      <c r="C32" s="102"/>
      <c r="D32" s="103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eTD3bkhrnUjl3f70WLFDi/7nKbxQ7E3ETObs74VT5A+WT/8gQ7OCN5VYevlk+U91E7faguTkUBlUPx8G+0vz8g==" saltValue="vMkM9XrZaMTj12inN9Mpw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9" width="9.86328125" style="2" bestFit="1" customWidth="1"/>
    <col min="10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4" t="s">
        <v>212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ht="15" customHeight="1" x14ac:dyDescent="0.45">
      <c r="A5" s="1"/>
      <c r="B5" s="60"/>
      <c r="C5" s="60"/>
      <c r="D5" s="60"/>
      <c r="E5" s="60"/>
      <c r="F5" s="60"/>
      <c r="G5" s="1"/>
    </row>
    <row r="6" spans="1:7" ht="15" customHeight="1" x14ac:dyDescent="0.45">
      <c r="A6" s="1"/>
      <c r="B6" s="60"/>
      <c r="C6" s="60"/>
      <c r="D6" s="60"/>
      <c r="E6" s="60"/>
      <c r="F6" s="6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268</v>
      </c>
      <c r="C8" s="102"/>
      <c r="D8" s="102"/>
      <c r="E8" s="102"/>
      <c r="F8" s="103"/>
      <c r="G8" s="1"/>
    </row>
    <row r="9" spans="1:7" x14ac:dyDescent="0.45">
      <c r="A9" s="1"/>
      <c r="B9" s="106" t="s">
        <v>269</v>
      </c>
      <c r="C9" s="107"/>
      <c r="D9" s="108"/>
      <c r="E9" s="9">
        <v>1950576.3688706756</v>
      </c>
      <c r="F9" s="14" t="s">
        <v>3</v>
      </c>
      <c r="G9" s="1"/>
    </row>
    <row r="10" spans="1:7" x14ac:dyDescent="0.45">
      <c r="A10" s="1"/>
      <c r="B10" s="106" t="s">
        <v>270</v>
      </c>
      <c r="C10" s="107"/>
      <c r="D10" s="108"/>
      <c r="E10" s="9">
        <v>-1918545.3934978545</v>
      </c>
      <c r="F10" s="14" t="s">
        <v>3</v>
      </c>
      <c r="G10" s="1"/>
    </row>
    <row r="11" spans="1:7" x14ac:dyDescent="0.45">
      <c r="A11" s="1"/>
      <c r="B11" s="106" t="s">
        <v>271</v>
      </c>
      <c r="C11" s="107"/>
      <c r="D11" s="108"/>
      <c r="E11" s="9">
        <v>0</v>
      </c>
      <c r="F11" s="14" t="s">
        <v>3</v>
      </c>
      <c r="G11" s="1"/>
    </row>
    <row r="12" spans="1:7" x14ac:dyDescent="0.45">
      <c r="A12" s="1"/>
      <c r="B12" s="106" t="s">
        <v>272</v>
      </c>
      <c r="C12" s="107"/>
      <c r="D12" s="108"/>
      <c r="E12" s="9">
        <v>-605104.5162650384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1" t="s">
        <v>273</v>
      </c>
      <c r="C14" s="92"/>
      <c r="D14" s="92"/>
      <c r="E14" s="92"/>
      <c r="F14" s="93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1" t="s">
        <v>274</v>
      </c>
      <c r="C16" s="102"/>
      <c r="D16" s="102"/>
      <c r="E16" s="102"/>
      <c r="F16" s="103"/>
      <c r="G16" s="1"/>
    </row>
    <row r="17" spans="1:9" x14ac:dyDescent="0.45">
      <c r="A17" s="1"/>
      <c r="B17" s="106" t="s">
        <v>275</v>
      </c>
      <c r="C17" s="107"/>
      <c r="D17" s="108"/>
      <c r="E17" s="9">
        <v>-286537.01231358945</v>
      </c>
      <c r="F17" s="14" t="s">
        <v>3</v>
      </c>
      <c r="G17" s="1"/>
    </row>
    <row r="18" spans="1:9" x14ac:dyDescent="0.45">
      <c r="A18" s="1"/>
      <c r="B18" s="106" t="s">
        <v>276</v>
      </c>
      <c r="C18" s="107"/>
      <c r="D18" s="108"/>
      <c r="E18" s="9">
        <v>-286537.01231358945</v>
      </c>
      <c r="F18" s="14" t="s">
        <v>3</v>
      </c>
      <c r="G18" s="1"/>
      <c r="H18" s="50"/>
    </row>
    <row r="19" spans="1:9" x14ac:dyDescent="0.45">
      <c r="A19" s="1"/>
      <c r="B19" s="38"/>
      <c r="C19" s="32"/>
      <c r="D19" s="32"/>
      <c r="E19" s="32"/>
      <c r="F19" s="20"/>
      <c r="G19" s="1"/>
    </row>
    <row r="20" spans="1:9" ht="29.25" customHeight="1" x14ac:dyDescent="0.45">
      <c r="A20" s="1"/>
      <c r="B20" s="91" t="s">
        <v>277</v>
      </c>
      <c r="C20" s="92"/>
      <c r="D20" s="92"/>
      <c r="E20" s="92"/>
      <c r="F20" s="93"/>
      <c r="G20" s="1"/>
    </row>
    <row r="21" spans="1:9" x14ac:dyDescent="0.45">
      <c r="A21" s="1"/>
      <c r="B21" s="1"/>
      <c r="C21" s="1"/>
      <c r="D21" s="1"/>
      <c r="E21" s="1"/>
      <c r="F21" s="1"/>
      <c r="G21" s="1"/>
    </row>
    <row r="22" spans="1:9" x14ac:dyDescent="0.45">
      <c r="A22" s="1"/>
      <c r="B22" s="55" t="s">
        <v>213</v>
      </c>
      <c r="C22" s="56"/>
      <c r="D22" s="56"/>
      <c r="E22" s="56"/>
      <c r="F22" s="57"/>
      <c r="G22" s="1"/>
    </row>
    <row r="23" spans="1:9" x14ac:dyDescent="0.45">
      <c r="A23" s="1"/>
      <c r="B23" s="61" t="s">
        <v>214</v>
      </c>
      <c r="C23" s="62"/>
      <c r="D23" s="63"/>
      <c r="E23" s="9">
        <v>32708722.063045055</v>
      </c>
      <c r="F23" s="14" t="s">
        <v>3</v>
      </c>
      <c r="G23" s="1"/>
    </row>
    <row r="24" spans="1:9" x14ac:dyDescent="0.45">
      <c r="A24" s="1"/>
      <c r="B24" s="61" t="s">
        <v>215</v>
      </c>
      <c r="C24" s="62"/>
      <c r="D24" s="63"/>
      <c r="E24" s="9">
        <v>33427583</v>
      </c>
      <c r="F24" s="14" t="s">
        <v>3</v>
      </c>
      <c r="G24" s="1"/>
    </row>
    <row r="25" spans="1:9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9" x14ac:dyDescent="0.45">
      <c r="A26" s="1"/>
      <c r="B26" s="58" t="s">
        <v>278</v>
      </c>
      <c r="C26" s="59"/>
      <c r="D26" s="66"/>
      <c r="E26" s="48">
        <f>E23-(E24-E25)</f>
        <v>-718860.93695494533</v>
      </c>
      <c r="F26" s="17" t="s">
        <v>3</v>
      </c>
      <c r="G26" s="1"/>
    </row>
    <row r="27" spans="1:9" x14ac:dyDescent="0.45">
      <c r="A27" s="1"/>
      <c r="B27" s="38"/>
      <c r="C27" s="32"/>
      <c r="D27" s="32"/>
      <c r="E27" s="32"/>
      <c r="F27" s="20"/>
      <c r="G27" s="1"/>
      <c r="I27" s="50"/>
    </row>
    <row r="28" spans="1:9" x14ac:dyDescent="0.45">
      <c r="A28" s="1"/>
      <c r="B28" s="1"/>
      <c r="C28" s="1"/>
      <c r="D28" s="1"/>
      <c r="E28" s="1"/>
      <c r="F28" s="1"/>
      <c r="G28" s="1"/>
      <c r="H28" s="50"/>
      <c r="I28" s="50"/>
    </row>
    <row r="29" spans="1:9" x14ac:dyDescent="0.45">
      <c r="A29" s="1"/>
      <c r="B29" s="1"/>
      <c r="C29" s="1"/>
      <c r="D29" s="1"/>
      <c r="E29" s="1"/>
      <c r="F29" s="1"/>
      <c r="G29" s="1"/>
    </row>
    <row r="30" spans="1:9" x14ac:dyDescent="0.45">
      <c r="A30" s="1"/>
      <c r="B30" s="101" t="s">
        <v>186</v>
      </c>
      <c r="C30" s="102"/>
      <c r="D30" s="102"/>
      <c r="E30" s="102"/>
      <c r="F30" s="103"/>
      <c r="G30" s="1"/>
    </row>
    <row r="31" spans="1:9" x14ac:dyDescent="0.45">
      <c r="A31" s="1"/>
      <c r="B31" s="118" t="s">
        <v>284</v>
      </c>
      <c r="C31" s="119"/>
      <c r="D31" s="120"/>
      <c r="E31" s="9">
        <v>0</v>
      </c>
      <c r="F31" s="14"/>
      <c r="G31" s="1"/>
    </row>
    <row r="32" spans="1:9" x14ac:dyDescent="0.4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-1291934.9615821242</v>
      </c>
      <c r="F32" s="14" t="s">
        <v>3</v>
      </c>
      <c r="G32" s="1"/>
    </row>
    <row r="33" spans="1:7" x14ac:dyDescent="0.4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45">
      <c r="A34" s="1"/>
      <c r="B34" s="121" t="s">
        <v>188</v>
      </c>
      <c r="C34" s="121"/>
      <c r="D34" s="121"/>
      <c r="E34" s="10">
        <f>E32/E33</f>
        <v>-645967.48079106212</v>
      </c>
      <c r="F34" s="17" t="s">
        <v>3</v>
      </c>
      <c r="G34" s="1"/>
    </row>
    <row r="35" spans="1:7" x14ac:dyDescent="0.45">
      <c r="A35" s="1"/>
      <c r="B35" s="122"/>
      <c r="C35" s="123"/>
      <c r="D35" s="123"/>
      <c r="E35" s="123"/>
      <c r="F35" s="124"/>
      <c r="G35" s="1"/>
    </row>
    <row r="36" spans="1:7" ht="75" customHeight="1" x14ac:dyDescent="0.45">
      <c r="A36" s="1"/>
      <c r="B36" s="91" t="s">
        <v>283</v>
      </c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ZnU7u5Q3is42NoW6p/dUfuBGja37YffjoLYOgbAhxBzlR3RPeSW4RZG1YADuEuBpmud1uLCvt/PXbMFL7Jxezg==" saltValue="k3CKqM9SuZUNqVM0+9fgYA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4" t="s">
        <v>216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1" t="s">
        <v>217</v>
      </c>
      <c r="C9" s="102"/>
      <c r="D9" s="102"/>
      <c r="E9" s="102"/>
      <c r="F9" s="103"/>
      <c r="G9" s="1"/>
    </row>
    <row r="10" spans="1:7" x14ac:dyDescent="0.45">
      <c r="A10" s="1"/>
      <c r="B10" s="91" t="s">
        <v>118</v>
      </c>
      <c r="C10" s="92"/>
      <c r="D10" s="93"/>
      <c r="E10" s="7">
        <v>0</v>
      </c>
      <c r="F10" s="8" t="s">
        <v>3</v>
      </c>
      <c r="G10" s="1"/>
    </row>
    <row r="11" spans="1:7" x14ac:dyDescent="0.45">
      <c r="A11" s="1"/>
      <c r="B11" s="106" t="s">
        <v>218</v>
      </c>
      <c r="C11" s="107"/>
      <c r="D11" s="108"/>
      <c r="E11" s="7">
        <v>0</v>
      </c>
      <c r="F11" s="8" t="s">
        <v>3</v>
      </c>
      <c r="G11" s="1"/>
    </row>
    <row r="12" spans="1:7" x14ac:dyDescent="0.45">
      <c r="A12" s="1"/>
      <c r="B12" s="104" t="s">
        <v>119</v>
      </c>
      <c r="C12" s="105"/>
      <c r="D12" s="125"/>
      <c r="E12" s="10">
        <f>E11-E10</f>
        <v>0</v>
      </c>
      <c r="F12" s="11" t="s">
        <v>3</v>
      </c>
      <c r="G12" s="1"/>
    </row>
    <row r="13" spans="1:7" x14ac:dyDescent="0.45">
      <c r="A13" s="1"/>
      <c r="B13" s="101" t="s">
        <v>109</v>
      </c>
      <c r="C13" s="102"/>
      <c r="D13" s="102"/>
      <c r="E13" s="102"/>
      <c r="F13" s="103"/>
      <c r="G13" s="1"/>
    </row>
    <row r="14" spans="1:7" x14ac:dyDescent="0.45">
      <c r="A14" s="1"/>
      <c r="B14" s="106" t="s">
        <v>219</v>
      </c>
      <c r="C14" s="107"/>
      <c r="D14" s="108"/>
      <c r="E14" s="9">
        <v>135782</v>
      </c>
      <c r="F14" s="8" t="s">
        <v>3</v>
      </c>
      <c r="G14" s="1"/>
    </row>
    <row r="15" spans="1:7" x14ac:dyDescent="0.45">
      <c r="A15" s="1"/>
      <c r="B15" s="91" t="s">
        <v>220</v>
      </c>
      <c r="C15" s="92"/>
      <c r="D15" s="93"/>
      <c r="E15" s="9">
        <v>0</v>
      </c>
      <c r="F15" s="8" t="s">
        <v>3</v>
      </c>
      <c r="G15" s="1"/>
    </row>
    <row r="16" spans="1:7" x14ac:dyDescent="0.45">
      <c r="A16" s="1"/>
      <c r="B16" s="104" t="s">
        <v>119</v>
      </c>
      <c r="C16" s="105"/>
      <c r="D16" s="125"/>
      <c r="E16" s="10">
        <f>E15-E14</f>
        <v>-135782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-135782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LtlOzLrNVmHe8IjvOIRInmVuQ/FH8IyWHNGOJCU/eNHwKJSwdvW27A0kvCuwjUPI+QXC5QQiR8obP5PajvpAA==" saltValue="98qYHck/OOhUdz+dhVsj2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177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178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285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1" t="s">
        <v>179</v>
      </c>
      <c r="C11" s="102"/>
      <c r="D11" s="10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81wHiixahJc6RIBkx2Nl6P0UkEG5Xe/VGMnXPnspBrmsXEhPttLCIPG+y05PuxA+NIB4p2W+Zxv1Moo2B/cWQ==" saltValue="H4dBWB+haxAOMND9jAlxn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65" x14ac:dyDescent="0.45">
      <c r="A11" s="1"/>
      <c r="B11" s="49" t="s">
        <v>281</v>
      </c>
      <c r="C11" s="22">
        <v>58110</v>
      </c>
      <c r="D11" s="14" t="s">
        <v>3</v>
      </c>
      <c r="E11" s="9">
        <v>471147</v>
      </c>
      <c r="F11" s="14" t="s">
        <v>3</v>
      </c>
      <c r="G11" s="1"/>
    </row>
    <row r="12" spans="1:7" x14ac:dyDescent="0.45">
      <c r="A12" s="1"/>
      <c r="B12" s="47" t="s">
        <v>280</v>
      </c>
      <c r="C12" s="22">
        <v>31760</v>
      </c>
      <c r="D12" s="14" t="s">
        <v>3</v>
      </c>
      <c r="E12" s="9">
        <v>56410</v>
      </c>
      <c r="F12" s="14" t="s">
        <v>3</v>
      </c>
      <c r="G12" s="1"/>
    </row>
    <row r="13" spans="1:7" x14ac:dyDescent="0.45">
      <c r="A13" s="1"/>
      <c r="B13" s="38" t="s">
        <v>163</v>
      </c>
      <c r="C13" s="12">
        <f>SUM(C10:C12)</f>
        <v>89870</v>
      </c>
      <c r="D13" s="13" t="s">
        <v>3</v>
      </c>
      <c r="E13" s="12">
        <f>SUM(E10:E12)</f>
        <v>527557</v>
      </c>
      <c r="F13" s="13" t="s">
        <v>3</v>
      </c>
      <c r="G13" s="1"/>
    </row>
    <row r="14" spans="1:7" x14ac:dyDescent="0.45">
      <c r="A14" s="1"/>
      <c r="B14" s="38" t="s">
        <v>222</v>
      </c>
      <c r="C14" s="12">
        <f>C13*(1+'Fane 14. Nøgletal'!C14)</f>
        <v>90166.571000000011</v>
      </c>
      <c r="D14" s="13" t="s">
        <v>3</v>
      </c>
      <c r="E14" s="12">
        <f>E13*(1+'Fane 14. Nøgletal'!C14)</f>
        <v>529297.93810000003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ClzaxALTjLYihJc1RK85gxe8I7XqskGkFjwsJohJtDKyANs1R+lzU2751xqe8I3drodb7/k1OcTSlL9EyTBYZg==" saltValue="IlFPSSq8eUxwekYmBOq5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134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112</v>
      </c>
      <c r="C8" s="102"/>
      <c r="D8" s="102"/>
      <c r="E8" s="102"/>
      <c r="F8" s="103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282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1" t="s">
        <v>113</v>
      </c>
      <c r="C16" s="102"/>
      <c r="D16" s="102"/>
      <c r="E16" s="102"/>
      <c r="F16" s="103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282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1" t="s">
        <v>166</v>
      </c>
      <c r="C24" s="102"/>
      <c r="D24" s="102"/>
      <c r="E24" s="102"/>
      <c r="F24" s="103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282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1" t="s">
        <v>224</v>
      </c>
      <c r="C32" s="102"/>
      <c r="D32" s="102"/>
      <c r="E32" s="102"/>
      <c r="F32" s="103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282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3ehRIMvUEBLRHqBGVSY2++QSjhzL9zyWuS+eAmeQEK6g+XHqMvjZe5LMnVtOU8LFInju0DqvzxmQyWu9u/qcSA==" saltValue="kInevjW9NWR0StjsumWW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136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94"/>
      <c r="C5" s="94"/>
      <c r="D5" s="94"/>
      <c r="E5" s="94"/>
      <c r="F5" s="9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103</v>
      </c>
      <c r="C8" s="102"/>
      <c r="D8" s="102"/>
      <c r="E8" s="102"/>
      <c r="F8" s="103"/>
      <c r="G8" s="1"/>
    </row>
    <row r="9" spans="1:7" x14ac:dyDescent="0.45">
      <c r="A9" s="1"/>
      <c r="B9" s="126" t="s">
        <v>226</v>
      </c>
      <c r="C9" s="127"/>
      <c r="D9" s="128"/>
      <c r="E9" s="9">
        <v>0</v>
      </c>
      <c r="F9" s="14" t="s">
        <v>3</v>
      </c>
      <c r="G9" s="1"/>
    </row>
    <row r="10" spans="1:7" x14ac:dyDescent="0.45">
      <c r="A10" s="1"/>
      <c r="B10" s="95" t="s">
        <v>10</v>
      </c>
      <c r="C10" s="96"/>
      <c r="D10" s="97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5" t="s">
        <v>26</v>
      </c>
      <c r="C11" s="96"/>
      <c r="D11" s="97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1" t="s">
        <v>105</v>
      </c>
      <c r="C12" s="102"/>
      <c r="D12" s="103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1" t="s">
        <v>104</v>
      </c>
      <c r="C14" s="102"/>
      <c r="D14" s="102"/>
      <c r="E14" s="102"/>
      <c r="F14" s="103"/>
      <c r="G14" s="1"/>
    </row>
    <row r="15" spans="1:7" ht="15" customHeight="1" x14ac:dyDescent="0.45">
      <c r="A15" s="1"/>
      <c r="B15" s="126" t="s">
        <v>226</v>
      </c>
      <c r="C15" s="127"/>
      <c r="D15" s="128"/>
      <c r="E15" s="9">
        <v>0</v>
      </c>
      <c r="F15" s="14" t="s">
        <v>3</v>
      </c>
      <c r="G15" s="1"/>
    </row>
    <row r="16" spans="1:7" x14ac:dyDescent="0.45">
      <c r="A16" s="1"/>
      <c r="B16" s="95" t="s">
        <v>10</v>
      </c>
      <c r="C16" s="96"/>
      <c r="D16" s="97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5" t="s">
        <v>26</v>
      </c>
      <c r="C17" s="96"/>
      <c r="D17" s="97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1" t="s">
        <v>106</v>
      </c>
      <c r="C18" s="102"/>
      <c r="D18" s="103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1" t="s">
        <v>155</v>
      </c>
      <c r="C20" s="102"/>
      <c r="D20" s="102"/>
      <c r="E20" s="102"/>
      <c r="F20" s="103"/>
      <c r="G20" s="1"/>
    </row>
    <row r="21" spans="1:7" ht="15" customHeight="1" x14ac:dyDescent="0.45">
      <c r="A21" s="1"/>
      <c r="B21" s="126" t="s">
        <v>226</v>
      </c>
      <c r="C21" s="127"/>
      <c r="D21" s="128"/>
      <c r="E21" s="9">
        <v>0</v>
      </c>
      <c r="F21" s="14" t="s">
        <v>3</v>
      </c>
      <c r="G21" s="1"/>
    </row>
    <row r="22" spans="1:7" x14ac:dyDescent="0.45">
      <c r="A22" s="1"/>
      <c r="B22" s="95" t="s">
        <v>10</v>
      </c>
      <c r="C22" s="96"/>
      <c r="D22" s="97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5" t="s">
        <v>26</v>
      </c>
      <c r="C23" s="96"/>
      <c r="D23" s="97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1" t="s">
        <v>156</v>
      </c>
      <c r="C24" s="102"/>
      <c r="D24" s="103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1" t="s">
        <v>227</v>
      </c>
      <c r="C26" s="102"/>
      <c r="D26" s="102"/>
      <c r="E26" s="102"/>
      <c r="F26" s="103"/>
      <c r="G26" s="1"/>
    </row>
    <row r="27" spans="1:7" ht="15" customHeight="1" x14ac:dyDescent="0.45">
      <c r="A27" s="1"/>
      <c r="B27" s="126" t="s">
        <v>226</v>
      </c>
      <c r="C27" s="127"/>
      <c r="D27" s="128"/>
      <c r="E27" s="9">
        <v>0</v>
      </c>
      <c r="F27" s="14" t="s">
        <v>3</v>
      </c>
      <c r="G27" s="1"/>
    </row>
    <row r="28" spans="1:7" x14ac:dyDescent="0.45">
      <c r="A28" s="1"/>
      <c r="B28" s="95" t="s">
        <v>10</v>
      </c>
      <c r="C28" s="96"/>
      <c r="D28" s="97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5" t="s">
        <v>26</v>
      </c>
      <c r="C29" s="96"/>
      <c r="D29" s="97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1" t="s">
        <v>228</v>
      </c>
      <c r="C30" s="102"/>
      <c r="D30" s="103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EauLAXzllMgwoK9j8pe8ZaXaxytQ+FTReo172qWfHdHpf4nDvquvz5Fcf4AeXFAWsaRVHcnEbjBVHqFO5wrpfw==" saltValue="lnJdv+V6USM4sQnGAKP+h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157</v>
      </c>
      <c r="C3" s="94"/>
      <c r="D3" s="94"/>
      <c r="E3" s="94"/>
      <c r="F3" s="94"/>
      <c r="G3" s="1"/>
    </row>
    <row r="4" spans="1:7" ht="25.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158</v>
      </c>
      <c r="C8" s="102"/>
      <c r="D8" s="102"/>
      <c r="E8" s="102"/>
      <c r="F8" s="103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kp0XGdLKuVx2LOhrmEl7KsRcA77jnIPn9+9jEqj7i9EkKL0BFilfXLWp3asjmrUpD+PDp2puMbAkM+L9NQDdg==" saltValue="erS2M38uy1fKJTf8Mmhbj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133</v>
      </c>
      <c r="C3" s="94"/>
      <c r="D3" s="94"/>
      <c r="E3" s="94"/>
      <c r="F3" s="94"/>
      <c r="G3" s="1"/>
    </row>
    <row r="4" spans="1:7" ht="25.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107</v>
      </c>
      <c r="C8" s="102"/>
      <c r="D8" s="102"/>
      <c r="E8" s="102"/>
      <c r="F8" s="103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1" t="s">
        <v>108</v>
      </c>
      <c r="C14" s="102"/>
      <c r="D14" s="102"/>
      <c r="E14" s="102"/>
      <c r="F14" s="103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1" t="s">
        <v>169</v>
      </c>
      <c r="C20" s="102"/>
      <c r="D20" s="102"/>
      <c r="E20" s="102"/>
      <c r="F20" s="103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1" t="s">
        <v>231</v>
      </c>
      <c r="C26" s="102"/>
      <c r="D26" s="102"/>
      <c r="E26" s="102"/>
      <c r="F26" s="103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ulDHzm8VWstEQ3RI+YNnt6dJEDaK2qTbekcNXzPmWtnp0DI6WVdchfV6sbMQTmat+r7tj0JvhwxVvpab4tj3A==" saltValue="j/y2L35lnK/U1sp/y+yTa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4" t="s">
        <v>189</v>
      </c>
      <c r="C3" s="94"/>
      <c r="D3" s="1"/>
    </row>
    <row r="4" spans="1:4" ht="25.5" customHeight="1" x14ac:dyDescent="0.45">
      <c r="A4" s="1"/>
      <c r="B4" s="94"/>
      <c r="C4" s="9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69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C5bm6jkQ9LPXQ4a00SdQfB7JkX8VTKXqwH1r7uNHxiLEvJ8A1vdOelszT6zYEvMUYP2VAUy5b+VGQ7hNDKsaSA==" saltValue="o+cFnYHOR9gUCfH2vViWg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194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30705461.321879275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tillæg'!C14</f>
        <v>90166.571000000011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tillæg'!E14</f>
        <v>529297.93810000003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103372.25524223159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-19241.525885045328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drift'!G40</f>
        <v>-233922.18723388709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-332564.9921314753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30842569.380971096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1022400.9863939647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287</v>
      </c>
      <c r="C30" s="10">
        <f>'Fane 7. Kontrol af ØR2020'!E34</f>
        <v>-645967.48079106212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-135782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31083220.886574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24p8HhtGA9eLp29j9zsyiP7KN89752yNWB39HVuE26qPgadGjsb3MayumBiuQlJSo4vNQOotETuBoRlEnpUrRg==" saltValue="OL8qpJz/BZhL18MXbFCs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196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30842569.380971096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101780.47895720461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-18945.235506937806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-230000.24784272377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-328724.25224774767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30366680.124330893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1025326.8290490649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287</v>
      </c>
      <c r="C26" s="10">
        <f>'Fane 7. Kontrol af ØR2020'!E34</f>
        <v>-645967.48079106212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30746039.472588897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mCgXpkTphjwflAtCtMEVGf67tD9w03eCCX3cLrnpTLMh0djGDJ2fze0Bm6ZIqApmPJ7dgUSoYIpEMyRbwO8r+Q==" saltValue="taWzDNu1Hfh6jQAthKQJ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197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30366680.124330893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100210.04441029194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-18652.917641622971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-226144.06368739271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-324927.86845441879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29897165.31895775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1028262.3269849268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30925427.645942677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Q/Q0/h85pDi+i7bsf1lGtl+mGJTIsyVLfa5gMQn5t0iaJW/2R6eIUV99HYEN/ij5JJZcrqW1QbjlXpLCmoZpQ==" saltValue="ULnvL6yslmRarDieg5qH6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198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29897165.31895775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98660.645552560571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-18364.515321702234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-222352.53231560986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-321175.32849009772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29433933.588382903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1031207.5120639772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30465141.10044688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yCiqWrAYy+Je5VIuK/bZPkcpXgXjj82eNKRyz2OD896Tqpp9aWRwSXA8nJ+mGzsZbqeycF7IMmhaUfzeo1WdPQ==" saltValue="4mnuJ2IXWpX8luZit85b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250</v>
      </c>
      <c r="C3" s="94"/>
      <c r="D3" s="94"/>
      <c r="E3" s="94"/>
      <c r="F3" s="94"/>
      <c r="G3" s="1"/>
    </row>
    <row r="4" spans="1:7" ht="29.2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91" t="s">
        <v>25</v>
      </c>
      <c r="C9" s="92"/>
      <c r="D9" s="93"/>
      <c r="E9" s="7">
        <v>31407794.445052397</v>
      </c>
      <c r="F9" s="8" t="s">
        <v>3</v>
      </c>
      <c r="G9" s="1"/>
    </row>
    <row r="10" spans="1:7" ht="15" customHeight="1" x14ac:dyDescent="0.45">
      <c r="A10" s="1"/>
      <c r="B10" s="95" t="s">
        <v>43</v>
      </c>
      <c r="C10" s="96"/>
      <c r="D10" s="97"/>
      <c r="E10" s="7">
        <v>178204.89540000001</v>
      </c>
      <c r="F10" s="8" t="s">
        <v>3</v>
      </c>
      <c r="G10" s="1"/>
    </row>
    <row r="11" spans="1:7" ht="15" customHeight="1" x14ac:dyDescent="0.45">
      <c r="A11" s="1"/>
      <c r="B11" s="95" t="s">
        <v>44</v>
      </c>
      <c r="C11" s="96"/>
      <c r="D11" s="97"/>
      <c r="E11" s="9">
        <v>18078.904200000001</v>
      </c>
      <c r="F11" s="8" t="s">
        <v>3</v>
      </c>
      <c r="G11" s="1"/>
    </row>
    <row r="12" spans="1:7" ht="15" customHeight="1" x14ac:dyDescent="0.45">
      <c r="A12" s="1"/>
      <c r="B12" s="95" t="s">
        <v>29</v>
      </c>
      <c r="C12" s="96"/>
      <c r="D12" s="97"/>
      <c r="E12" s="9">
        <v>0</v>
      </c>
      <c r="F12" s="8" t="s">
        <v>3</v>
      </c>
      <c r="G12" s="1"/>
    </row>
    <row r="13" spans="1:7" ht="15" customHeight="1" x14ac:dyDescent="0.45">
      <c r="A13" s="1"/>
      <c r="B13" s="91" t="s">
        <v>28</v>
      </c>
      <c r="C13" s="92"/>
      <c r="D13" s="93"/>
      <c r="E13" s="9">
        <v>0</v>
      </c>
      <c r="F13" s="8" t="s">
        <v>3</v>
      </c>
      <c r="G13" s="1"/>
    </row>
    <row r="14" spans="1:7" ht="15" customHeight="1" x14ac:dyDescent="0.45">
      <c r="A14" s="1"/>
      <c r="B14" s="91" t="s">
        <v>31</v>
      </c>
      <c r="C14" s="92"/>
      <c r="D14" s="93"/>
      <c r="E14" s="9">
        <v>0</v>
      </c>
      <c r="F14" s="8" t="s">
        <v>3</v>
      </c>
      <c r="G14" s="1"/>
    </row>
    <row r="15" spans="1:7" ht="15" customHeight="1" x14ac:dyDescent="0.45">
      <c r="A15" s="1"/>
      <c r="B15" s="91" t="s">
        <v>30</v>
      </c>
      <c r="C15" s="92"/>
      <c r="D15" s="93"/>
      <c r="E15" s="9">
        <v>0</v>
      </c>
      <c r="F15" s="8" t="s">
        <v>3</v>
      </c>
      <c r="G15" s="1"/>
    </row>
    <row r="16" spans="1:7" ht="15" customHeight="1" x14ac:dyDescent="0.45">
      <c r="A16" s="1"/>
      <c r="B16" s="91" t="s">
        <v>20</v>
      </c>
      <c r="C16" s="92"/>
      <c r="D16" s="93"/>
      <c r="E16" s="9">
        <v>621128.21292265214</v>
      </c>
      <c r="F16" s="8" t="s">
        <v>3</v>
      </c>
      <c r="G16" s="1"/>
    </row>
    <row r="17" spans="1:7" ht="15" customHeight="1" x14ac:dyDescent="0.45">
      <c r="A17" s="1"/>
      <c r="B17" s="91" t="s">
        <v>10</v>
      </c>
      <c r="C17" s="92"/>
      <c r="D17" s="93"/>
      <c r="E17" s="9">
        <v>-644504.12915150088</v>
      </c>
      <c r="F17" s="8" t="s">
        <v>3</v>
      </c>
      <c r="G17" s="1"/>
    </row>
    <row r="18" spans="1:7" ht="15" customHeight="1" x14ac:dyDescent="0.45">
      <c r="A18" s="1"/>
      <c r="B18" s="91" t="s">
        <v>26</v>
      </c>
      <c r="C18" s="92"/>
      <c r="D18" s="93"/>
      <c r="E18" s="9">
        <f>-'Fane 4.1. Gen. krav - drift'!G34</f>
        <v>-236070.86901002313</v>
      </c>
      <c r="F18" s="8" t="s">
        <v>3</v>
      </c>
      <c r="G18" s="1"/>
    </row>
    <row r="19" spans="1:7" ht="15" customHeight="1" x14ac:dyDescent="0.45">
      <c r="A19" s="1"/>
      <c r="B19" s="91" t="s">
        <v>27</v>
      </c>
      <c r="C19" s="92"/>
      <c r="D19" s="93"/>
      <c r="E19" s="9">
        <f>-'Fane 4.2. Gen. krav - anlæg'!G31</f>
        <v>-639170.13753424527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6"/>
      <c r="E20" s="10">
        <f>SUM(E9:E19)</f>
        <v>30705461.321879275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8" t="s">
        <v>13</v>
      </c>
      <c r="C22" s="99"/>
      <c r="D22" s="100"/>
      <c r="E22" s="10">
        <v>1408129.24699124</v>
      </c>
      <c r="F22" s="11" t="s">
        <v>3</v>
      </c>
      <c r="G22" s="1"/>
    </row>
    <row r="23" spans="1:7" ht="15" customHeight="1" x14ac:dyDescent="0.45">
      <c r="A23" s="1"/>
      <c r="B23" s="101" t="s">
        <v>94</v>
      </c>
      <c r="C23" s="102"/>
      <c r="D23" s="103"/>
      <c r="E23" s="32"/>
      <c r="F23" s="32"/>
      <c r="G23" s="1"/>
    </row>
    <row r="24" spans="1:7" ht="15" customHeight="1" x14ac:dyDescent="0.4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5" t="s">
        <v>89</v>
      </c>
      <c r="C26" s="96"/>
      <c r="D26" s="97"/>
      <c r="E26" s="9">
        <v>0</v>
      </c>
      <c r="F26" s="8" t="s">
        <v>3</v>
      </c>
      <c r="G26" s="1"/>
    </row>
    <row r="27" spans="1:7" ht="15" customHeight="1" x14ac:dyDescent="0.45">
      <c r="A27" s="1"/>
      <c r="B27" s="95" t="s">
        <v>90</v>
      </c>
      <c r="C27" s="96"/>
      <c r="D27" s="96"/>
      <c r="E27" s="9">
        <v>0</v>
      </c>
      <c r="F27" s="8" t="s">
        <v>3</v>
      </c>
      <c r="G27" s="1"/>
    </row>
    <row r="28" spans="1:7" ht="15" customHeight="1" x14ac:dyDescent="0.45">
      <c r="A28" s="1"/>
      <c r="B28" s="104" t="s">
        <v>95</v>
      </c>
      <c r="C28" s="105"/>
      <c r="D28" s="105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8" t="s">
        <v>185</v>
      </c>
      <c r="C30" s="99"/>
      <c r="D30" s="99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8" t="s">
        <v>148</v>
      </c>
      <c r="C32" s="99"/>
      <c r="D32" s="100"/>
      <c r="E32" s="10">
        <v>-135782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31977808.568870515</v>
      </c>
      <c r="F33" s="13" t="s">
        <v>3</v>
      </c>
      <c r="G33" s="1"/>
    </row>
    <row r="34" spans="1:7" ht="27" customHeight="1" x14ac:dyDescent="0.45">
      <c r="A34" s="1"/>
      <c r="B34" s="91" t="s">
        <v>252</v>
      </c>
      <c r="C34" s="92"/>
      <c r="D34" s="92"/>
      <c r="E34" s="92"/>
      <c r="F34" s="93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ScZab5sPEGznSkhi/HgCdtL4dYvp5KACENtjTZYd7uM+Sj8MkHZD2HgxPZeXAV/FOAevfSPOdyRpTWFBCXXpQ==" saltValue="3NBZxjkB/sufBDkM9oHot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4" t="s">
        <v>130</v>
      </c>
      <c r="C2" s="94"/>
      <c r="D2" s="94"/>
      <c r="E2" s="94"/>
      <c r="F2" s="94"/>
      <c r="G2" s="94"/>
      <c r="H2" s="94"/>
      <c r="I2" s="1"/>
    </row>
    <row r="3" spans="1:9" ht="28.5" customHeight="1" x14ac:dyDescent="0.45">
      <c r="A3" s="1"/>
      <c r="B3" s="94"/>
      <c r="C3" s="94"/>
      <c r="D3" s="94"/>
      <c r="E3" s="94"/>
      <c r="F3" s="94"/>
      <c r="G3" s="94"/>
      <c r="H3" s="94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101" t="s">
        <v>56</v>
      </c>
      <c r="C5" s="102"/>
      <c r="D5" s="102"/>
      <c r="E5" s="102"/>
      <c r="F5" s="102"/>
      <c r="G5" s="102"/>
      <c r="H5" s="103"/>
      <c r="I5" s="1"/>
    </row>
    <row r="6" spans="1:9" x14ac:dyDescent="0.45">
      <c r="A6" s="1"/>
      <c r="B6" s="106" t="s">
        <v>45</v>
      </c>
      <c r="C6" s="107"/>
      <c r="D6" s="107"/>
      <c r="E6" s="107"/>
      <c r="F6" s="108"/>
      <c r="G6" s="24">
        <v>11705943.01124052</v>
      </c>
      <c r="H6" s="14" t="s">
        <v>3</v>
      </c>
      <c r="I6" s="1"/>
    </row>
    <row r="7" spans="1:9" x14ac:dyDescent="0.45">
      <c r="A7" s="1"/>
      <c r="B7" s="91" t="s">
        <v>145</v>
      </c>
      <c r="C7" s="92"/>
      <c r="D7" s="92"/>
      <c r="E7" s="92"/>
      <c r="F7" s="93"/>
      <c r="G7" s="70">
        <v>0</v>
      </c>
      <c r="H7" s="14" t="s">
        <v>3</v>
      </c>
      <c r="I7" s="1"/>
    </row>
    <row r="8" spans="1:9" x14ac:dyDescent="0.45">
      <c r="A8" s="1"/>
      <c r="B8" s="106" t="s">
        <v>46</v>
      </c>
      <c r="C8" s="107"/>
      <c r="D8" s="107"/>
      <c r="E8" s="107"/>
      <c r="F8" s="108"/>
      <c r="G8" s="24">
        <f>SUM(G6:G7)*'Fane 14. Nøgletal'!C29</f>
        <v>234118.8602248104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01" t="s">
        <v>57</v>
      </c>
      <c r="C11" s="102"/>
      <c r="D11" s="102"/>
      <c r="E11" s="102"/>
      <c r="F11" s="102"/>
      <c r="G11" s="102"/>
      <c r="H11" s="103"/>
      <c r="I11" s="1"/>
    </row>
    <row r="12" spans="1:9" x14ac:dyDescent="0.45">
      <c r="A12" s="1"/>
      <c r="B12" s="106" t="s">
        <v>47</v>
      </c>
      <c r="C12" s="107"/>
      <c r="D12" s="107"/>
      <c r="E12" s="107"/>
      <c r="F12" s="108"/>
      <c r="G12" s="24">
        <f>(G6-G8)*(1+'Fane 14. Nøgletal'!C10)</f>
        <v>11672581.073658485</v>
      </c>
      <c r="H12" s="14" t="s">
        <v>3</v>
      </c>
      <c r="I12" s="1"/>
    </row>
    <row r="13" spans="1:9" ht="15" customHeight="1" x14ac:dyDescent="0.45">
      <c r="A13" s="1"/>
      <c r="B13" s="106" t="s">
        <v>146</v>
      </c>
      <c r="C13" s="107"/>
      <c r="D13" s="107"/>
      <c r="E13" s="107"/>
      <c r="F13" s="108"/>
      <c r="G13" s="70">
        <v>0</v>
      </c>
      <c r="H13" s="14" t="s">
        <v>3</v>
      </c>
      <c r="I13" s="1"/>
    </row>
    <row r="14" spans="1:9" x14ac:dyDescent="0.45">
      <c r="A14" s="1"/>
      <c r="B14" s="91" t="s">
        <v>143</v>
      </c>
      <c r="C14" s="92"/>
      <c r="D14" s="92"/>
      <c r="E14" s="92"/>
      <c r="F14" s="93"/>
      <c r="G14" s="70">
        <v>0</v>
      </c>
      <c r="H14" s="14" t="s">
        <v>3</v>
      </c>
      <c r="I14" s="1"/>
    </row>
    <row r="15" spans="1:9" x14ac:dyDescent="0.45">
      <c r="A15" s="1"/>
      <c r="B15" s="112" t="s">
        <v>48</v>
      </c>
      <c r="C15" s="113"/>
      <c r="D15" s="113"/>
      <c r="E15" s="113"/>
      <c r="F15" s="114"/>
      <c r="G15" s="70">
        <v>0</v>
      </c>
      <c r="H15" s="14" t="s">
        <v>3</v>
      </c>
      <c r="I15" s="1"/>
    </row>
    <row r="16" spans="1:9" x14ac:dyDescent="0.45">
      <c r="A16" s="1"/>
      <c r="B16" s="106" t="s">
        <v>49</v>
      </c>
      <c r="C16" s="107"/>
      <c r="D16" s="107"/>
      <c r="E16" s="107"/>
      <c r="F16" s="108"/>
      <c r="G16" s="24">
        <f>SUM(G12:G15)*'Fane 14. Nøgletal'!C29</f>
        <v>233451.62147316971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01" t="s">
        <v>58</v>
      </c>
      <c r="C19" s="102"/>
      <c r="D19" s="102"/>
      <c r="E19" s="102"/>
      <c r="F19" s="102"/>
      <c r="G19" s="102"/>
      <c r="H19" s="103"/>
      <c r="I19" s="1"/>
    </row>
    <row r="20" spans="1:9" x14ac:dyDescent="0.45">
      <c r="A20" s="1"/>
      <c r="B20" s="106" t="s">
        <v>50</v>
      </c>
      <c r="C20" s="107"/>
      <c r="D20" s="107"/>
      <c r="E20" s="107"/>
      <c r="F20" s="108"/>
      <c r="G20" s="24">
        <f>(SUM(G12:G13,G15)-(G16))*(1+'Fane 14. Nøgletal'!C10)</f>
        <v>11639314.217598559</v>
      </c>
      <c r="H20" s="14" t="s">
        <v>3</v>
      </c>
      <c r="I20" s="1"/>
    </row>
    <row r="21" spans="1:9" x14ac:dyDescent="0.45">
      <c r="A21" s="1"/>
      <c r="B21" s="112" t="s">
        <v>51</v>
      </c>
      <c r="C21" s="113"/>
      <c r="D21" s="113"/>
      <c r="E21" s="113"/>
      <c r="F21" s="114"/>
      <c r="G21" s="70">
        <v>0</v>
      </c>
      <c r="H21" s="14" t="s">
        <v>3</v>
      </c>
      <c r="I21" s="1"/>
    </row>
    <row r="22" spans="1:9" x14ac:dyDescent="0.45">
      <c r="A22" s="1"/>
      <c r="B22" s="106" t="s">
        <v>52</v>
      </c>
      <c r="C22" s="107"/>
      <c r="D22" s="107"/>
      <c r="E22" s="107"/>
      <c r="F22" s="108"/>
      <c r="G22" s="24">
        <f>SUM(G20:G21)*'Fane 14. Nøgletal'!C29</f>
        <v>232786.2843519712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01" t="s">
        <v>59</v>
      </c>
      <c r="C25" s="102"/>
      <c r="D25" s="102"/>
      <c r="E25" s="102"/>
      <c r="F25" s="102"/>
      <c r="G25" s="102"/>
      <c r="H25" s="103"/>
      <c r="I25" s="1"/>
    </row>
    <row r="26" spans="1:9" x14ac:dyDescent="0.45">
      <c r="A26" s="1"/>
      <c r="B26" s="106" t="s">
        <v>53</v>
      </c>
      <c r="C26" s="107"/>
      <c r="D26" s="107"/>
      <c r="E26" s="107"/>
      <c r="F26" s="108"/>
      <c r="G26" s="24">
        <f>(G20+G21-G22)*(1+'Fane 14. Nøgletal'!C12)</f>
        <v>11631236.533531547</v>
      </c>
      <c r="H26" s="14" t="s">
        <v>3</v>
      </c>
      <c r="I26" s="1"/>
    </row>
    <row r="27" spans="1:9" x14ac:dyDescent="0.45">
      <c r="A27" s="1"/>
      <c r="B27" s="112" t="s">
        <v>54</v>
      </c>
      <c r="C27" s="113"/>
      <c r="D27" s="113"/>
      <c r="E27" s="113"/>
      <c r="F27" s="114"/>
      <c r="G27" s="70">
        <v>0</v>
      </c>
      <c r="H27" s="14" t="s">
        <v>3</v>
      </c>
      <c r="I27" s="1"/>
    </row>
    <row r="28" spans="1:9" x14ac:dyDescent="0.45">
      <c r="A28" s="1"/>
      <c r="B28" s="106" t="s">
        <v>55</v>
      </c>
      <c r="C28" s="107"/>
      <c r="D28" s="107"/>
      <c r="E28" s="107"/>
      <c r="F28" s="108"/>
      <c r="G28" s="24">
        <f>(G26+G27)*'Fane 14. Nøgletal'!C29</f>
        <v>232624.73067063093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1" t="s">
        <v>62</v>
      </c>
      <c r="C31" s="102"/>
      <c r="D31" s="102"/>
      <c r="E31" s="102"/>
      <c r="F31" s="102"/>
      <c r="G31" s="102"/>
      <c r="H31" s="103"/>
      <c r="I31" s="1"/>
    </row>
    <row r="32" spans="1:9" x14ac:dyDescent="0.45">
      <c r="A32" s="1"/>
      <c r="B32" s="106" t="s">
        <v>63</v>
      </c>
      <c r="C32" s="107"/>
      <c r="D32" s="107"/>
      <c r="E32" s="107"/>
      <c r="F32" s="108"/>
      <c r="G32" s="24">
        <f>(G26+G27-G28)*(1+'Fane 14. Nøgletal'!C12)</f>
        <v>11623164.455377277</v>
      </c>
      <c r="H32" s="14" t="s">
        <v>3</v>
      </c>
      <c r="I32" s="1"/>
    </row>
    <row r="33" spans="1:9" x14ac:dyDescent="0.45">
      <c r="A33" s="1"/>
      <c r="B33" s="106" t="s">
        <v>171</v>
      </c>
      <c r="C33" s="107"/>
      <c r="D33" s="107"/>
      <c r="E33" s="107"/>
      <c r="F33" s="108"/>
      <c r="G33" s="24">
        <v>180378.99512388001</v>
      </c>
      <c r="H33" s="14" t="s">
        <v>3</v>
      </c>
      <c r="I33" s="1"/>
    </row>
    <row r="34" spans="1:9" x14ac:dyDescent="0.45">
      <c r="A34" s="1"/>
      <c r="B34" s="106" t="s">
        <v>64</v>
      </c>
      <c r="C34" s="107"/>
      <c r="D34" s="107"/>
      <c r="E34" s="107"/>
      <c r="F34" s="108"/>
      <c r="G34" s="24">
        <f>(G32+G33)*'Fane 14. Nøgletal'!C29</f>
        <v>236070.86901002313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01" t="s">
        <v>232</v>
      </c>
      <c r="C37" s="102"/>
      <c r="D37" s="102"/>
      <c r="E37" s="102"/>
      <c r="F37" s="102"/>
      <c r="G37" s="102"/>
      <c r="H37" s="103"/>
      <c r="I37" s="1"/>
    </row>
    <row r="38" spans="1:9" x14ac:dyDescent="0.45">
      <c r="A38" s="1"/>
      <c r="B38" s="106" t="s">
        <v>84</v>
      </c>
      <c r="C38" s="107"/>
      <c r="D38" s="107"/>
      <c r="E38" s="107"/>
      <c r="F38" s="108"/>
      <c r="G38" s="24">
        <f>(G32+G33-G34)*(1+'Fane 14. Nøgletal'!C14)</f>
        <v>11605645.241010055</v>
      </c>
      <c r="H38" s="14" t="s">
        <v>3</v>
      </c>
      <c r="I38" s="1"/>
    </row>
    <row r="39" spans="1:9" x14ac:dyDescent="0.45">
      <c r="A39" s="1"/>
      <c r="B39" s="106" t="s">
        <v>236</v>
      </c>
      <c r="C39" s="107"/>
      <c r="D39" s="107"/>
      <c r="E39" s="107"/>
      <c r="F39" s="108"/>
      <c r="G39" s="24">
        <f>SUM('Fane 2.1. Økonomisk ramme 2022'!C10,'Fane 2.1. Økonomisk ramme 2022'!C12,'Fane 2.1. Økonomisk ramme 2022'!C14)*(1+'Fane 14. Nøgletal'!C14)</f>
        <v>90464.120684300011</v>
      </c>
      <c r="H39" s="14" t="s">
        <v>3</v>
      </c>
      <c r="I39" s="1"/>
    </row>
    <row r="40" spans="1:9" x14ac:dyDescent="0.45">
      <c r="A40" s="1"/>
      <c r="B40" s="106" t="s">
        <v>234</v>
      </c>
      <c r="C40" s="107"/>
      <c r="D40" s="107"/>
      <c r="E40" s="107"/>
      <c r="F40" s="108"/>
      <c r="G40" s="24">
        <f>(G38+G39)*'Fane 14. Nøgletal'!C29</f>
        <v>233922.18723388709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01" t="s">
        <v>233</v>
      </c>
      <c r="C43" s="102"/>
      <c r="D43" s="102"/>
      <c r="E43" s="102"/>
      <c r="F43" s="102"/>
      <c r="G43" s="102"/>
      <c r="H43" s="103"/>
      <c r="I43" s="1"/>
    </row>
    <row r="44" spans="1:9" x14ac:dyDescent="0.45">
      <c r="A44" s="1"/>
      <c r="B44" s="106" t="s">
        <v>83</v>
      </c>
      <c r="C44" s="107"/>
      <c r="D44" s="107"/>
      <c r="E44" s="107"/>
      <c r="F44" s="108"/>
      <c r="G44" s="24">
        <f>(G38+G39-G40)*(1+'Fane 14. Nøgletal'!C14)</f>
        <v>11500012.392136188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90762.652282558207</v>
      </c>
      <c r="H45" s="14" t="s">
        <v>3</v>
      </c>
      <c r="I45" s="1"/>
    </row>
    <row r="46" spans="1:9" x14ac:dyDescent="0.45">
      <c r="A46" s="1"/>
      <c r="B46" s="106" t="s">
        <v>97</v>
      </c>
      <c r="C46" s="107"/>
      <c r="D46" s="107"/>
      <c r="E46" s="107"/>
      <c r="F46" s="108"/>
      <c r="G46" s="70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6" t="s">
        <v>235</v>
      </c>
      <c r="C47" s="107"/>
      <c r="D47" s="107"/>
      <c r="E47" s="107"/>
      <c r="F47" s="108"/>
      <c r="G47" s="24">
        <f>(G44+G46)*'Fane 14. Nøgletal'!C29</f>
        <v>230000.24784272377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1" t="s">
        <v>172</v>
      </c>
      <c r="C52" s="102"/>
      <c r="D52" s="102"/>
      <c r="E52" s="102"/>
      <c r="F52" s="102"/>
      <c r="G52" s="102"/>
      <c r="H52" s="103"/>
      <c r="I52" s="1"/>
    </row>
    <row r="53" spans="1:9" x14ac:dyDescent="0.45">
      <c r="A53" s="1"/>
      <c r="B53" s="106" t="s">
        <v>173</v>
      </c>
      <c r="C53" s="107"/>
      <c r="D53" s="107"/>
      <c r="E53" s="107"/>
      <c r="F53" s="108"/>
      <c r="G53" s="24">
        <f>(G44+G46-G47)*(1+'Fane 14. Nøgletal'!C14)</f>
        <v>11307203.184369635</v>
      </c>
      <c r="H53" s="14" t="s">
        <v>3</v>
      </c>
      <c r="I53" s="1"/>
    </row>
    <row r="54" spans="1:9" x14ac:dyDescent="0.45">
      <c r="A54" s="1"/>
      <c r="B54" s="106" t="s">
        <v>174</v>
      </c>
      <c r="C54" s="107"/>
      <c r="D54" s="107"/>
      <c r="E54" s="107"/>
      <c r="F54" s="108"/>
      <c r="G54" s="70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6" t="s">
        <v>175</v>
      </c>
      <c r="C55" s="107"/>
      <c r="D55" s="107"/>
      <c r="E55" s="107"/>
      <c r="F55" s="108"/>
      <c r="G55" s="24">
        <f>(G53+G54)*'Fane 14. Nøgletal'!C29</f>
        <v>226144.06368739271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1" t="s">
        <v>201</v>
      </c>
      <c r="C58" s="102"/>
      <c r="D58" s="102"/>
      <c r="E58" s="102"/>
      <c r="F58" s="102"/>
      <c r="G58" s="102"/>
      <c r="H58" s="103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11117626.615780493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70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222352.53231560986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slKIZghYmOo3Ox6YCMfpsyAkrHqicwui4u6Yoe+Hsm9pOyozi3bfcyMm7aICMjTkR54Y+dgMFbhC7sWjy8PrJg==" saltValue="JmV34sGxw+Oczdq6MJYszg==" spinCount="100000" sheet="1" objects="1" scenarios="1"/>
  <mergeCells count="37">
    <mergeCell ref="B58:H58"/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5" t="s">
        <v>131</v>
      </c>
      <c r="C1" s="115"/>
      <c r="D1" s="115"/>
      <c r="E1" s="115"/>
      <c r="F1" s="115"/>
      <c r="G1" s="115"/>
      <c r="H1" s="115"/>
      <c r="I1" s="1"/>
    </row>
    <row r="2" spans="1:9" ht="15" customHeight="1" x14ac:dyDescent="0.45">
      <c r="A2" s="1"/>
      <c r="B2" s="115"/>
      <c r="C2" s="115"/>
      <c r="D2" s="115"/>
      <c r="E2" s="115"/>
      <c r="F2" s="115"/>
      <c r="G2" s="115"/>
      <c r="H2" s="115"/>
      <c r="I2" s="1"/>
    </row>
    <row r="3" spans="1:9" ht="15" customHeight="1" x14ac:dyDescent="0.45">
      <c r="A3" s="1"/>
      <c r="B3" s="116"/>
      <c r="C3" s="116"/>
      <c r="D3" s="116"/>
      <c r="E3" s="116"/>
      <c r="F3" s="116"/>
      <c r="G3" s="116"/>
      <c r="H3" s="116"/>
      <c r="I3" s="1"/>
    </row>
    <row r="4" spans="1:9" x14ac:dyDescent="0.45">
      <c r="A4" s="1"/>
      <c r="B4" s="101" t="s">
        <v>60</v>
      </c>
      <c r="C4" s="102"/>
      <c r="D4" s="102"/>
      <c r="E4" s="102"/>
      <c r="F4" s="102"/>
      <c r="G4" s="102"/>
      <c r="H4" s="103"/>
      <c r="I4" s="1"/>
    </row>
    <row r="5" spans="1:9" x14ac:dyDescent="0.45">
      <c r="A5" s="1"/>
      <c r="B5" s="106" t="s">
        <v>65</v>
      </c>
      <c r="C5" s="107"/>
      <c r="D5" s="107"/>
      <c r="E5" s="107"/>
      <c r="F5" s="108"/>
      <c r="G5" s="24">
        <v>20969443.840955921</v>
      </c>
      <c r="H5" s="14" t="s">
        <v>3</v>
      </c>
      <c r="I5" s="1"/>
    </row>
    <row r="6" spans="1:9" x14ac:dyDescent="0.45">
      <c r="A6" s="1"/>
      <c r="B6" s="106" t="s">
        <v>61</v>
      </c>
      <c r="C6" s="107"/>
      <c r="D6" s="107"/>
      <c r="E6" s="107"/>
      <c r="F6" s="108"/>
      <c r="G6" s="24">
        <f>G5*'Fane 14. Nøgletal'!C19</f>
        <v>190821.9389526989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1" t="s">
        <v>66</v>
      </c>
      <c r="C9" s="102"/>
      <c r="D9" s="102"/>
      <c r="E9" s="102"/>
      <c r="F9" s="102"/>
      <c r="G9" s="102"/>
      <c r="H9" s="103"/>
      <c r="I9" s="1"/>
    </row>
    <row r="10" spans="1:9" x14ac:dyDescent="0.45">
      <c r="A10" s="1"/>
      <c r="B10" s="106" t="s">
        <v>67</v>
      </c>
      <c r="C10" s="107"/>
      <c r="D10" s="107"/>
      <c r="E10" s="107"/>
      <c r="F10" s="108"/>
      <c r="G10" s="24">
        <f>(G5-G6)*(1+'Fane 14. Nøgletal'!C10)</f>
        <v>21142247.785288278</v>
      </c>
      <c r="H10" s="14" t="s">
        <v>3</v>
      </c>
      <c r="I10" s="1"/>
    </row>
    <row r="11" spans="1:9" x14ac:dyDescent="0.45">
      <c r="A11" s="1"/>
      <c r="B11" s="106" t="s">
        <v>147</v>
      </c>
      <c r="C11" s="107"/>
      <c r="D11" s="107"/>
      <c r="E11" s="107"/>
      <c r="F11" s="108"/>
      <c r="G11" s="24">
        <v>226681.03205776471</v>
      </c>
      <c r="H11" s="14" t="s">
        <v>3</v>
      </c>
      <c r="I11" s="1"/>
    </row>
    <row r="12" spans="1:9" x14ac:dyDescent="0.45">
      <c r="A12" s="1"/>
      <c r="B12" s="112" t="s">
        <v>68</v>
      </c>
      <c r="C12" s="113"/>
      <c r="D12" s="113"/>
      <c r="E12" s="113"/>
      <c r="F12" s="114"/>
      <c r="G12" s="70">
        <v>0</v>
      </c>
      <c r="H12" s="14" t="s">
        <v>3</v>
      </c>
      <c r="I12" s="1"/>
    </row>
    <row r="13" spans="1:9" x14ac:dyDescent="0.45">
      <c r="A13" s="1"/>
      <c r="B13" s="106" t="s">
        <v>69</v>
      </c>
      <c r="C13" s="107"/>
      <c r="D13" s="107"/>
      <c r="E13" s="107"/>
      <c r="F13" s="108"/>
      <c r="G13" s="24">
        <f>SUM(G10:G12)*'Fane 14. Nøgletal'!C20</f>
        <v>378230.04006702499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1" t="s">
        <v>70</v>
      </c>
      <c r="C16" s="102"/>
      <c r="D16" s="102"/>
      <c r="E16" s="102"/>
      <c r="F16" s="102"/>
      <c r="G16" s="102"/>
      <c r="H16" s="103"/>
      <c r="I16" s="1"/>
    </row>
    <row r="17" spans="1:9" x14ac:dyDescent="0.45">
      <c r="A17" s="1"/>
      <c r="B17" s="106" t="s">
        <v>71</v>
      </c>
      <c r="C17" s="107"/>
      <c r="D17" s="107"/>
      <c r="E17" s="107"/>
      <c r="F17" s="108"/>
      <c r="G17" s="24">
        <f>(SUM(G10:G12)-G13)*(1+'Fane 14. Nøgletal'!C10)</f>
        <v>21358036.005881403</v>
      </c>
      <c r="H17" s="14" t="s">
        <v>3</v>
      </c>
      <c r="I17" s="1"/>
    </row>
    <row r="18" spans="1:9" x14ac:dyDescent="0.45">
      <c r="A18" s="1"/>
      <c r="B18" s="112" t="s">
        <v>72</v>
      </c>
      <c r="C18" s="113"/>
      <c r="D18" s="113"/>
      <c r="E18" s="113"/>
      <c r="F18" s="114"/>
      <c r="G18" s="24">
        <v>991204.14792451973</v>
      </c>
      <c r="H18" s="14" t="s">
        <v>3</v>
      </c>
      <c r="I18" s="1"/>
    </row>
    <row r="19" spans="1:9" x14ac:dyDescent="0.45">
      <c r="A19" s="1"/>
      <c r="B19" s="106" t="s">
        <v>73</v>
      </c>
      <c r="C19" s="107"/>
      <c r="D19" s="107"/>
      <c r="E19" s="107"/>
      <c r="F19" s="108"/>
      <c r="G19" s="24">
        <f>G17*'Fane 14. Nøgletal'!C20+G18*'Fane 14. Nøgletal'!C21</f>
        <v>386660.71339104412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1" t="s">
        <v>74</v>
      </c>
      <c r="C22" s="102"/>
      <c r="D22" s="102"/>
      <c r="E22" s="102"/>
      <c r="F22" s="102"/>
      <c r="G22" s="102"/>
      <c r="H22" s="103"/>
      <c r="I22" s="1"/>
    </row>
    <row r="23" spans="1:9" x14ac:dyDescent="0.45">
      <c r="A23" s="1"/>
      <c r="B23" s="106" t="s">
        <v>75</v>
      </c>
      <c r="C23" s="107"/>
      <c r="D23" s="107"/>
      <c r="E23" s="107"/>
      <c r="F23" s="108"/>
      <c r="G23" s="24">
        <f>(G17+G18-G19)*(1+'Fane 14. Nøgletal'!C12)</f>
        <v>22395242.255391054</v>
      </c>
      <c r="H23" s="14" t="s">
        <v>3</v>
      </c>
      <c r="I23" s="1"/>
    </row>
    <row r="24" spans="1:9" x14ac:dyDescent="0.45">
      <c r="A24" s="1"/>
      <c r="B24" s="112" t="s">
        <v>76</v>
      </c>
      <c r="C24" s="113"/>
      <c r="D24" s="113"/>
      <c r="E24" s="113"/>
      <c r="F24" s="114"/>
      <c r="G24" s="24">
        <v>303204.76492270135</v>
      </c>
      <c r="H24" s="14" t="s">
        <v>3</v>
      </c>
      <c r="I24" s="1"/>
    </row>
    <row r="25" spans="1:9" x14ac:dyDescent="0.45">
      <c r="A25" s="1"/>
      <c r="B25" s="106" t="s">
        <v>77</v>
      </c>
      <c r="C25" s="107"/>
      <c r="D25" s="107"/>
      <c r="E25" s="107"/>
      <c r="F25" s="108"/>
      <c r="G25" s="24">
        <f>(G23+G24)*'Fane 14. Nøgletal'!C22</f>
        <v>644635.89537691069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1" t="s">
        <v>78</v>
      </c>
      <c r="C28" s="102"/>
      <c r="D28" s="102"/>
      <c r="E28" s="102"/>
      <c r="F28" s="102"/>
      <c r="G28" s="102"/>
      <c r="H28" s="103"/>
      <c r="I28" s="1"/>
    </row>
    <row r="29" spans="1:9" x14ac:dyDescent="0.45">
      <c r="A29" s="1"/>
      <c r="B29" s="106" t="s">
        <v>79</v>
      </c>
      <c r="C29" s="107"/>
      <c r="D29" s="107"/>
      <c r="E29" s="107"/>
      <c r="F29" s="108"/>
      <c r="G29" s="24">
        <f>(G23+G24-G25)*(1+'Fane 14. Nøgletal'!C12)</f>
        <v>22488271.204098102</v>
      </c>
      <c r="H29" s="14" t="s">
        <v>3</v>
      </c>
      <c r="I29" s="1"/>
    </row>
    <row r="30" spans="1:9" x14ac:dyDescent="0.45">
      <c r="A30" s="1"/>
      <c r="B30" s="106" t="s">
        <v>176</v>
      </c>
      <c r="C30" s="107"/>
      <c r="D30" s="107"/>
      <c r="E30" s="107"/>
      <c r="F30" s="108"/>
      <c r="G30" s="24">
        <v>18299.466831239999</v>
      </c>
      <c r="H30" s="14" t="s">
        <v>3</v>
      </c>
      <c r="I30" s="1"/>
    </row>
    <row r="31" spans="1:9" x14ac:dyDescent="0.45">
      <c r="A31" s="1"/>
      <c r="B31" s="106" t="s">
        <v>80</v>
      </c>
      <c r="C31" s="107"/>
      <c r="D31" s="107"/>
      <c r="E31" s="107"/>
      <c r="F31" s="108"/>
      <c r="G31" s="24">
        <f>G29*'Fane 14. Nøgletal'!C22+G30*'Fane 14. Nøgletal'!C23</f>
        <v>639170.13753424527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1" t="s">
        <v>238</v>
      </c>
      <c r="C34" s="102"/>
      <c r="D34" s="102"/>
      <c r="E34" s="102"/>
      <c r="F34" s="102"/>
      <c r="G34" s="102"/>
      <c r="H34" s="103"/>
      <c r="I34" s="1"/>
    </row>
    <row r="35" spans="1:9" x14ac:dyDescent="0.45">
      <c r="A35" s="1"/>
      <c r="B35" s="106" t="s">
        <v>82</v>
      </c>
      <c r="C35" s="107"/>
      <c r="D35" s="107"/>
      <c r="E35" s="107"/>
      <c r="F35" s="108"/>
      <c r="G35" s="24">
        <f>(G29+G30-G31)*(1+'Fane 14. Nøgletal'!C14)</f>
        <v>21939562.955155302</v>
      </c>
      <c r="H35" s="14" t="s">
        <v>3</v>
      </c>
      <c r="I35" s="1"/>
    </row>
    <row r="36" spans="1:9" x14ac:dyDescent="0.45">
      <c r="A36" s="1"/>
      <c r="B36" s="106" t="s">
        <v>240</v>
      </c>
      <c r="C36" s="107"/>
      <c r="D36" s="107"/>
      <c r="E36" s="107"/>
      <c r="F36" s="108"/>
      <c r="G36" s="24">
        <f>SUM('Fane 2.1. Økonomisk ramme 2022'!C11,'Fane 2.1. Økonomisk ramme 2022'!C13,'Fane 2.1. Økonomisk ramme 2022'!C15)*(1+'Fane 14. Nøgletal'!C14)</f>
        <v>531044.62129573012</v>
      </c>
      <c r="H36" s="14" t="s">
        <v>3</v>
      </c>
      <c r="I36" s="1"/>
    </row>
    <row r="37" spans="1:9" x14ac:dyDescent="0.45">
      <c r="A37" s="1"/>
      <c r="B37" s="106" t="s">
        <v>239</v>
      </c>
      <c r="C37" s="107"/>
      <c r="D37" s="107"/>
      <c r="E37" s="107"/>
      <c r="F37" s="108"/>
      <c r="G37" s="24">
        <f>(G35+G36)*'Fane 14. Nøgletal'!C24</f>
        <v>332564.9921314753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1" t="s">
        <v>85</v>
      </c>
      <c r="C40" s="102"/>
      <c r="D40" s="102"/>
      <c r="E40" s="102"/>
      <c r="F40" s="102"/>
      <c r="G40" s="102"/>
      <c r="H40" s="103"/>
      <c r="I40" s="1"/>
    </row>
    <row r="41" spans="1:9" x14ac:dyDescent="0.45">
      <c r="A41" s="1"/>
      <c r="B41" s="106" t="s">
        <v>81</v>
      </c>
      <c r="C41" s="107"/>
      <c r="D41" s="107"/>
      <c r="E41" s="107"/>
      <c r="F41" s="108"/>
      <c r="G41" s="24">
        <f>(G35+G36-G37)*(1+'Fane 14. Nøgletal'!C14)</f>
        <v>22211098.124847814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24">
        <f>G36*(1+'Fane 14. Nøgletal'!C14)</f>
        <v>532797.06854600611</v>
      </c>
      <c r="H42" s="14" t="s">
        <v>3</v>
      </c>
      <c r="I42" s="1"/>
    </row>
    <row r="43" spans="1:9" x14ac:dyDescent="0.45">
      <c r="A43" s="1"/>
      <c r="B43" s="106" t="s">
        <v>101</v>
      </c>
      <c r="C43" s="107"/>
      <c r="D43" s="107"/>
      <c r="E43" s="107"/>
      <c r="F43" s="108"/>
      <c r="G43" s="70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6" t="s">
        <v>241</v>
      </c>
      <c r="C44" s="107"/>
      <c r="D44" s="107"/>
      <c r="E44" s="107"/>
      <c r="F44" s="108"/>
      <c r="G44" s="24">
        <f>(G41+G43)*'Fane 14. Nøgletal'!C24</f>
        <v>328724.25224774767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1" t="s">
        <v>181</v>
      </c>
      <c r="C52" s="102"/>
      <c r="D52" s="102"/>
      <c r="E52" s="102"/>
      <c r="F52" s="102"/>
      <c r="G52" s="102"/>
      <c r="H52" s="103"/>
      <c r="I52" s="1"/>
    </row>
    <row r="53" spans="1:9" x14ac:dyDescent="0.45">
      <c r="A53" s="1"/>
      <c r="B53" s="106" t="s">
        <v>182</v>
      </c>
      <c r="C53" s="107"/>
      <c r="D53" s="107"/>
      <c r="E53" s="107"/>
      <c r="F53" s="108"/>
      <c r="G53" s="24">
        <f>(G41+G43-G44)*(1+'Fane 14. Nøgletal'!C14)</f>
        <v>21954585.706379648</v>
      </c>
      <c r="H53" s="14" t="s">
        <v>3</v>
      </c>
      <c r="I53" s="1"/>
    </row>
    <row r="54" spans="1:9" x14ac:dyDescent="0.45">
      <c r="A54" s="1"/>
      <c r="B54" s="106" t="s">
        <v>183</v>
      </c>
      <c r="C54" s="107"/>
      <c r="D54" s="107"/>
      <c r="E54" s="107"/>
      <c r="F54" s="108"/>
      <c r="G54" s="70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6" t="s">
        <v>184</v>
      </c>
      <c r="C55" s="107"/>
      <c r="D55" s="107"/>
      <c r="E55" s="107"/>
      <c r="F55" s="108"/>
      <c r="G55" s="24">
        <f>(G53+G54)*'Fane 14. Nøgletal'!C24</f>
        <v>324927.86845441879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1" t="s">
        <v>205</v>
      </c>
      <c r="C58" s="102"/>
      <c r="D58" s="102"/>
      <c r="E58" s="102"/>
      <c r="F58" s="102"/>
      <c r="G58" s="102"/>
      <c r="H58" s="103"/>
      <c r="I58" s="1"/>
    </row>
    <row r="59" spans="1:9" x14ac:dyDescent="0.45">
      <c r="A59" s="1"/>
      <c r="B59" s="106" t="s">
        <v>255</v>
      </c>
      <c r="C59" s="107"/>
      <c r="D59" s="107"/>
      <c r="E59" s="107"/>
      <c r="F59" s="108"/>
      <c r="G59" s="24">
        <f>(G53+G54-G55)*(1+'Fane 14. Nøgletal'!C14)</f>
        <v>21701035.708790384</v>
      </c>
      <c r="H59" s="14" t="s">
        <v>3</v>
      </c>
      <c r="I59" s="1"/>
    </row>
    <row r="60" spans="1:9" x14ac:dyDescent="0.45">
      <c r="A60" s="1"/>
      <c r="B60" s="106" t="s">
        <v>256</v>
      </c>
      <c r="C60" s="107"/>
      <c r="D60" s="107"/>
      <c r="E60" s="107"/>
      <c r="F60" s="108"/>
      <c r="G60" s="70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6" t="s">
        <v>257</v>
      </c>
      <c r="C61" s="107"/>
      <c r="D61" s="107"/>
      <c r="E61" s="107"/>
      <c r="F61" s="108"/>
      <c r="G61" s="24">
        <f>(G59+G60)*'Fane 14. Nøgletal'!C24</f>
        <v>321175.32849009772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oUL9nR+SyRxz/00/shIL1iNvB1LLBuqBiWwqj1NnPdd8k2G+g+HX1N9nQMZyxeuseReE/IOu/dyTSaHT6L2PPQ==" saltValue="v2QCcwMRKV19VINFPcecb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96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10</v>
      </c>
      <c r="C8" s="102"/>
      <c r="D8" s="102"/>
      <c r="E8" s="102"/>
      <c r="F8" s="102"/>
      <c r="G8" s="102"/>
      <c r="H8" s="103"/>
      <c r="I8" s="1"/>
    </row>
    <row r="9" spans="1:9" x14ac:dyDescent="0.45">
      <c r="A9" s="1"/>
      <c r="B9" s="106" t="s">
        <v>243</v>
      </c>
      <c r="C9" s="107"/>
      <c r="D9" s="107"/>
      <c r="E9" s="107"/>
      <c r="F9" s="108"/>
      <c r="G9" s="23">
        <v>6.5416193221719656E-4</v>
      </c>
      <c r="H9" s="14"/>
      <c r="I9" s="1"/>
    </row>
    <row r="10" spans="1:9" x14ac:dyDescent="0.45">
      <c r="A10" s="1"/>
      <c r="B10" s="106" t="s">
        <v>86</v>
      </c>
      <c r="C10" s="107"/>
      <c r="D10" s="107"/>
      <c r="E10" s="107"/>
      <c r="F10" s="108"/>
      <c r="G10" s="23">
        <v>0.02</v>
      </c>
      <c r="H10" s="14"/>
      <c r="I10" s="1"/>
    </row>
    <row r="11" spans="1:9" x14ac:dyDescent="0.45">
      <c r="A11" s="1"/>
      <c r="B11" s="106" t="s">
        <v>87</v>
      </c>
      <c r="C11" s="107"/>
      <c r="D11" s="107"/>
      <c r="E11" s="107"/>
      <c r="F11" s="108"/>
      <c r="G11" s="41">
        <v>0.02</v>
      </c>
      <c r="H11" s="14"/>
      <c r="I11" s="1"/>
    </row>
    <row r="12" spans="1:9" x14ac:dyDescent="0.45">
      <c r="A12" s="1"/>
      <c r="B12" s="106" t="s">
        <v>206</v>
      </c>
      <c r="C12" s="107"/>
      <c r="D12" s="107"/>
      <c r="E12" s="107"/>
      <c r="F12" s="108"/>
      <c r="G12" s="41">
        <v>6.1223569384054603E-4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7" t="s">
        <v>207</v>
      </c>
      <c r="C14" s="117"/>
      <c r="D14" s="117"/>
      <c r="E14" s="117"/>
      <c r="F14" s="117"/>
      <c r="G14" s="117"/>
      <c r="H14" s="117"/>
      <c r="I14" s="1"/>
    </row>
    <row r="15" spans="1:9" ht="14.25" customHeight="1" x14ac:dyDescent="0.45">
      <c r="A15" s="18"/>
      <c r="B15" s="117"/>
      <c r="C15" s="117"/>
      <c r="D15" s="117"/>
      <c r="E15" s="117"/>
      <c r="F15" s="117"/>
      <c r="G15" s="117"/>
      <c r="H15" s="117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oLiPteMByNCSzZ54z6lk44yWo3oSPe29bFOG8D6N2Agwbu6AnSxL2yHed2dAfjGHaz5aZvJdRGoqbZLE40Hqw==" saltValue="tMarYFOB8LoaKzlF/QdBB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2021-09-13T01:02:06Z</dcterms:modified>
</cp:coreProperties>
</file>