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langerup Vandværk A.m.b.A. (V14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<sst xmlns="http://schemas.openxmlformats.org/spreadsheetml/2006/main" count="410" uniqueCount="158">
  <si>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</si>
  <si>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</si>
  <si>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</si>
  <si>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</si>
  <si>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</si>
  <si>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</si>
  <si>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</si>
  <si>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</si>
  <si>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</si>
  <si>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</si>
  <si>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</si>
  <si>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</si>
  <si>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</si>
  <si>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</si>
  <si>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</si>
  <si>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</si>
  <si>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</si>
  <si>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</si>
  <si>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</si>
  <si>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</si>
  <si>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</si>
  <si>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</si>
  <si>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</si>
  <si>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</si>
  <si>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</si>
  <si>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</si>
  <si>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</si>
  <si>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</si>
  <si>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</si>
  <si>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</si>
  <si>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</si>
  <si>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</si>
  <si>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</si>
  <si>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</si>
  <si>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</si>
  <si>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</si>
  <si>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</si>
  <si>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</si>
  <si>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</si>
  <si>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</si>
  <si>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</si>
  <si>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</si>
  <si>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</si>
  <si>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</si>
  <si>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</si>
  <si>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</si>
  <si>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</si>
  <si>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</si>
  <si>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</si>
  <si>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</si>
  <si>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</si>
  <si>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</si>
  <si>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</si>
  <si>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</si>
  <si>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</si>
  <si>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</si>
  <si>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</si>
  <si>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</si>
  <si>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</si>
  <si>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</si>
  <si>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</si>
  <si>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</si>
  <si>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</si>
  <si>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</si>
  <si>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</si>
  <si>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</si>
  <si>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</si>
  <si>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</si>
  <si>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</si>
  <si>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</si>
  <si>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</si>
  <si>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</si>
  <si>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</si>
  <si>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</si>
  <si>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</si>
  <si>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</si>
  <si>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</si>
  <si>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</si>
  <si>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</si>
  <si>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</si>
  <si>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</si>
  <si>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</si>
  <si>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</si>
  <si>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</si>
  <si>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</si>
  <si>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</si>
  <si>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</si>
  <si>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</si>
  <si>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</si>
  <si>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</si>
  <si>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</si>
  <si>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</si>
  <si>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</si>
  <si>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</si>
  <si>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</si>
  <si>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</si>
  <si>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</si>
  <si>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</si>
  <si>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</si>
  <si>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</si>
  <si>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</si>
  <si>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</si>
  <si>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</si>
  <si>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</si>
  <si>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</si>
  <si>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</si>
  <si>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</si>
  <si>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</si>
  <si>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</si>
  <si>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</si>
  <si>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</si>
  <si>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</si>
  <si>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</si>
  <si>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</si>
  <si>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</si>
  <si>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</si>
  <si>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</si>
  <si>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</si>
  <si>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</si>
  <si>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</si>
  <si>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</si>
  <si>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</si>
  <si>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</si>
  <si>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</si>
  <si>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</si>
  <si>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</si>
  <si>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</si>
  <si>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</si>
  <si>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</si>
  <si>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</si>
  <si>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</si>
  <si>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</si>
  <si>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</si>
  <si>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</si>
  <si>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</si>
  <si>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</si>
  <si>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</si>
  <si>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</si>
  <si>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</si>
  <si>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</si>
  <si>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</si>
  <si>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</si>
  <si>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</si>
  <si>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</si>
  <si>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</si>
  <si>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</si>
  <si>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</si>
  <si>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</si>
  <si>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</si>
  <si>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</si>
  <si>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</si>
  <si>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</si>
  <si>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</si>
  <si>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</si>
  <si>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</si>
  <si>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</si>
  <si>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Ingen anlægsprojekter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</si>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</sst>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OToiwLhmlRn7ylWyGrWplGgd9gxKnVEgFxGCTzyfnNXXVtWnVhDa27JsykRd4/oR0wzguoQauf2HQFy9VCPaA==" saltValue="arWHuif0TBi4ZAqBxdE54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157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3" t="s">
        <v>16</v>
      </c>
      <c r="C16" s="33" t="s">
        <v>11</v>
      </c>
      <c r="D16" s="34"/>
      <c r="E16" s="33" t="s">
        <v>31</v>
      </c>
      <c r="F16" s="43"/>
      <c r="G16" s="1"/>
    </row>
    <row r="17" spans="1:7" x14ac:dyDescent="0.25">
      <c r="A17" s="1"/>
      <c r="B17" s="20" t="s">
        <v>157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3" t="s">
        <v>16</v>
      </c>
      <c r="C23" s="33" t="s">
        <v>11</v>
      </c>
      <c r="D23" s="34"/>
      <c r="E23" s="33" t="s">
        <v>31</v>
      </c>
      <c r="F23" s="43"/>
      <c r="G23" s="1"/>
    </row>
    <row r="24" spans="1:7" x14ac:dyDescent="0.25">
      <c r="A24" s="1"/>
      <c r="B24" s="20" t="s">
        <v>157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3" t="s">
        <v>16</v>
      </c>
      <c r="C30" s="33" t="s">
        <v>11</v>
      </c>
      <c r="D30" s="34"/>
      <c r="E30" s="33" t="s">
        <v>31</v>
      </c>
      <c r="F30" s="43"/>
      <c r="G30" s="1"/>
    </row>
    <row r="31" spans="1:7" x14ac:dyDescent="0.25">
      <c r="A31" s="1"/>
      <c r="B31" s="20" t="s">
        <v>157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M/osBrk3VcCsoHsnykFS9eZpinVQzqGT5eoB5OWrHFi/Qfpt4cyBTelxxhFFpdh9BHX2qVH/0l9cPvunCyRkg==" saltValue="u3j5IySntKvZAPuN+kw0/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x14ac:dyDescent="0.25">
      <c r="A9" s="1"/>
      <c r="B9" s="40" t="s">
        <v>26</v>
      </c>
      <c r="C9" s="40"/>
      <c r="D9" s="40"/>
      <c r="E9" s="7">
        <f>'Fane 3. Omkostninger i ØR2020'!E16</f>
        <v>4460825.2979672309</v>
      </c>
      <c r="F9" s="40" t="s">
        <v>3</v>
      </c>
      <c r="G9" s="1"/>
    </row>
    <row r="10" spans="1:7" ht="17.100000000000001" customHeight="1" x14ac:dyDescent="0.25">
      <c r="A10" s="1"/>
      <c r="B10" s="40" t="s">
        <v>120</v>
      </c>
      <c r="C10" s="40"/>
      <c r="D10" s="40"/>
      <c r="E10" s="7">
        <v>41010.24713154573</v>
      </c>
      <c r="F10" s="40" t="s">
        <v>3</v>
      </c>
      <c r="G10" s="1"/>
    </row>
    <row r="11" spans="1:7" ht="17.100000000000001" customHeight="1" x14ac:dyDescent="0.25">
      <c r="A11" s="1"/>
      <c r="B11" s="27" t="s">
        <v>80</v>
      </c>
      <c r="C11" s="40"/>
      <c r="D11" s="40"/>
      <c r="E11" s="7">
        <f>'Fane 7.1. Varige tillæg'!C12+'Fane 7.1. Varige tillæg'!E12</f>
        <v>0</v>
      </c>
      <c r="F11" s="40" t="s">
        <v>3</v>
      </c>
      <c r="G11" s="1"/>
    </row>
    <row r="12" spans="1:7" ht="17.100000000000001" customHeight="1" x14ac:dyDescent="0.25">
      <c r="A12" s="1"/>
      <c r="B12" s="27" t="s">
        <v>82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7" t="s">
        <v>89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7" t="s">
        <v>18</v>
      </c>
      <c r="C14" s="40"/>
      <c r="D14" s="40"/>
      <c r="E14" s="8">
        <f>SUM(E9:E13)*'Fane 10. Nøgletal'!C13</f>
        <v>54922.393650205086</v>
      </c>
      <c r="F14" s="40" t="s">
        <v>3</v>
      </c>
      <c r="G14" s="1"/>
    </row>
    <row r="15" spans="1:7" ht="17.100000000000001" customHeight="1" x14ac:dyDescent="0.25">
      <c r="A15" s="1"/>
      <c r="B15" s="27" t="s">
        <v>72</v>
      </c>
      <c r="C15" s="40"/>
      <c r="D15" s="40"/>
      <c r="E15" s="8">
        <f>-SUM(E9:E14)*'Fane 10. Nøgletal'!C18</f>
        <v>-77464.884958732699</v>
      </c>
      <c r="F15" s="40" t="s">
        <v>3</v>
      </c>
      <c r="G15" s="1"/>
    </row>
    <row r="16" spans="1:7" ht="15" customHeight="1" x14ac:dyDescent="0.25">
      <c r="A16" s="1"/>
      <c r="B16" s="41" t="s">
        <v>20</v>
      </c>
      <c r="C16" s="36"/>
      <c r="D16" s="36"/>
      <c r="E16" s="9">
        <f>SUM(E9:E15)</f>
        <v>4479293.0537902489</v>
      </c>
      <c r="F16" s="38" t="s">
        <v>3</v>
      </c>
      <c r="G16" s="1"/>
    </row>
    <row r="17" spans="1:7" ht="15" customHeight="1" x14ac:dyDescent="0.25">
      <c r="A17" s="1"/>
      <c r="B17" s="37" t="s">
        <v>12</v>
      </c>
      <c r="C17" s="37"/>
      <c r="D17" s="37"/>
      <c r="E17" s="37"/>
      <c r="F17" s="37"/>
      <c r="G17" s="1"/>
    </row>
    <row r="18" spans="1:7" ht="15" customHeight="1" x14ac:dyDescent="0.25">
      <c r="A18" s="1"/>
      <c r="B18" s="38" t="s">
        <v>12</v>
      </c>
      <c r="C18" s="38"/>
      <c r="D18" s="38"/>
      <c r="E18" s="9">
        <f>'Fane 4. Ikke-påvirkelige omk.'!C14</f>
        <v>2081006.2290729601</v>
      </c>
      <c r="F18" s="38" t="s">
        <v>3</v>
      </c>
      <c r="G18" s="1"/>
    </row>
    <row r="19" spans="1:7" ht="15" customHeight="1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" customHeight="1" x14ac:dyDescent="0.25">
      <c r="A20" s="1"/>
      <c r="B20" s="27" t="s">
        <v>49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7" t="s">
        <v>50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41" t="s">
        <v>53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25">
      <c r="A23" s="1"/>
      <c r="B23" s="37" t="s">
        <v>124</v>
      </c>
      <c r="C23" s="37"/>
      <c r="D23" s="37"/>
      <c r="E23" s="37"/>
      <c r="F23" s="37"/>
      <c r="G23" s="1"/>
    </row>
    <row r="24" spans="1:7" x14ac:dyDescent="0.25">
      <c r="A24" s="1"/>
      <c r="B24" s="41" t="s">
        <v>36</v>
      </c>
      <c r="C24" s="36"/>
      <c r="D24" s="36"/>
      <c r="E24" s="9">
        <f>'Fane 5. Kontrol af ØR2019'!E42</f>
        <v>10146.556567366606</v>
      </c>
      <c r="F24" s="38" t="s">
        <v>3</v>
      </c>
      <c r="G24" s="1"/>
    </row>
    <row r="25" spans="1:7" x14ac:dyDescent="0.25">
      <c r="A25" s="1"/>
      <c r="B25" s="41" t="s">
        <v>125</v>
      </c>
      <c r="C25" s="36"/>
      <c r="D25" s="36"/>
      <c r="E25" s="9">
        <f>'Fane 5. Kontrol af ØR2019'!E43</f>
        <v>-335206.42786407331</v>
      </c>
      <c r="F25" s="38" t="s">
        <v>3</v>
      </c>
      <c r="G25" s="1"/>
    </row>
    <row r="26" spans="1:7" x14ac:dyDescent="0.25">
      <c r="A26" s="1"/>
      <c r="B26" s="37" t="s">
        <v>28</v>
      </c>
      <c r="C26" s="37"/>
      <c r="D26" s="37"/>
      <c r="E26" s="10">
        <f>SUM(E16,E18,E22,E24,E25)</f>
        <v>6235239.4115665015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25">
      <c r="A9" s="1"/>
      <c r="B9" s="40" t="s">
        <v>27</v>
      </c>
      <c r="C9" s="40"/>
      <c r="D9" s="40"/>
      <c r="E9" s="7">
        <f>'Fane 2.1. Økonomisk ramme 2021'!E16</f>
        <v>4479293.0537902489</v>
      </c>
      <c r="F9" s="40" t="s">
        <v>3</v>
      </c>
      <c r="G9" s="1"/>
    </row>
    <row r="10" spans="1:7" ht="15" customHeight="1" x14ac:dyDescent="0.25">
      <c r="A10" s="1"/>
      <c r="B10" s="27" t="s">
        <v>82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35" t="s">
        <v>18</v>
      </c>
      <c r="C11" s="40"/>
      <c r="D11" s="40"/>
      <c r="E11" s="8">
        <f>SUM(E9:E10)*'Fane 10. Nøgletal'!C13</f>
        <v>54647.375256241037</v>
      </c>
      <c r="F11" s="40" t="s">
        <v>3</v>
      </c>
      <c r="G11" s="1"/>
    </row>
    <row r="12" spans="1:7" ht="15" customHeight="1" x14ac:dyDescent="0.25">
      <c r="A12" s="1"/>
      <c r="B12" s="35" t="s">
        <v>72</v>
      </c>
      <c r="C12" s="40"/>
      <c r="D12" s="40"/>
      <c r="E12" s="8">
        <f>-SUM(E9:E11)*'Fane 10. Nøgletal'!C18</f>
        <v>-77076.987293790342</v>
      </c>
      <c r="F12" s="40" t="s">
        <v>3</v>
      </c>
      <c r="G12" s="1"/>
    </row>
    <row r="13" spans="1:7" ht="15" customHeight="1" x14ac:dyDescent="0.25">
      <c r="A13" s="1"/>
      <c r="B13" s="36" t="s">
        <v>20</v>
      </c>
      <c r="C13" s="36"/>
      <c r="D13" s="36"/>
      <c r="E13" s="9">
        <f>SUM(E9:E12)</f>
        <v>4456863.4417527001</v>
      </c>
      <c r="F13" s="38" t="s">
        <v>3</v>
      </c>
      <c r="G13" s="1"/>
    </row>
    <row r="14" spans="1:7" x14ac:dyDescent="0.2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25">
      <c r="A15" s="1"/>
      <c r="B15" s="38" t="s">
        <v>12</v>
      </c>
      <c r="C15" s="38"/>
      <c r="D15" s="38"/>
      <c r="E15" s="9">
        <f>'Fane 4. Ikke-påvirkelige omk.'!C14*(1+'Fane 10. Nøgletal'!C13)</f>
        <v>2106394.5050676502</v>
      </c>
      <c r="F15" s="38" t="s">
        <v>3</v>
      </c>
      <c r="G15" s="1"/>
    </row>
    <row r="16" spans="1:7" ht="15" customHeight="1" x14ac:dyDescent="0.25">
      <c r="A16" s="1"/>
      <c r="B16" s="37" t="s">
        <v>52</v>
      </c>
      <c r="C16" s="37"/>
      <c r="D16" s="37"/>
      <c r="E16" s="37"/>
      <c r="F16" s="37"/>
      <c r="G16" s="1"/>
    </row>
    <row r="17" spans="1:7" ht="15" customHeight="1" x14ac:dyDescent="0.25">
      <c r="A17" s="1"/>
      <c r="B17" s="27" t="s">
        <v>49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7" t="s">
        <v>50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41" t="s">
        <v>53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25">
      <c r="A20" s="1"/>
      <c r="B20" s="37" t="s">
        <v>124</v>
      </c>
      <c r="C20" s="37"/>
      <c r="D20" s="37"/>
      <c r="E20" s="37"/>
      <c r="F20" s="37"/>
      <c r="G20" s="1"/>
    </row>
    <row r="21" spans="1:7" ht="15" customHeight="1" x14ac:dyDescent="0.25">
      <c r="A21" s="1"/>
      <c r="B21" s="38" t="s">
        <v>36</v>
      </c>
      <c r="C21" s="38"/>
      <c r="D21" s="38"/>
      <c r="E21" s="9">
        <f>'Fane 5. Kontrol af ØR2019'!E42</f>
        <v>10146.556567366606</v>
      </c>
      <c r="F21" s="38" t="s">
        <v>3</v>
      </c>
      <c r="G21" s="1"/>
    </row>
    <row r="22" spans="1:7" x14ac:dyDescent="0.25">
      <c r="A22" s="1"/>
      <c r="B22" s="41" t="s">
        <v>125</v>
      </c>
      <c r="C22" s="38"/>
      <c r="D22" s="38"/>
      <c r="E22" s="9">
        <f>'Fane 5. Kontrol af ØR2019'!E43</f>
        <v>-335206.42786407331</v>
      </c>
      <c r="F22" s="38" t="s">
        <v>3</v>
      </c>
      <c r="G22" s="1"/>
    </row>
    <row r="23" spans="1:7" x14ac:dyDescent="0.25">
      <c r="A23" s="1"/>
      <c r="B23" s="37" t="s">
        <v>29</v>
      </c>
      <c r="C23" s="37"/>
      <c r="D23" s="37"/>
      <c r="E23" s="10">
        <f>SUM(E13,E15,E19,E21,E22)</f>
        <v>6238198.0755236428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92</v>
      </c>
      <c r="C8" s="40"/>
      <c r="D8" s="40"/>
      <c r="E8" s="7">
        <f>'Fane 2.2. Økonomisk ramme 2022'!E13</f>
        <v>4456863.4417527001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54373.733989382948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-76691.031987615424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4434546.1437544674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omk.'!C14*(1+'Fane 10. Nøgletal'!C13)^2</f>
        <v>2132092.5180294756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57</v>
      </c>
      <c r="C19" s="37"/>
      <c r="D19" s="37"/>
      <c r="E19" s="10">
        <f>SUM(E12,E14,E18)</f>
        <v>6566638.661783943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94</v>
      </c>
      <c r="C8" s="40"/>
      <c r="D8" s="40"/>
      <c r="E8" s="7">
        <f>'Fane 2.3. Økonomisk ramme 2023'!E12</f>
        <v>4434546.1437544674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54101.462953804505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-76307.009314040624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4412340.5973942308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omk.'!C14*(1+'Fane 10. Nøgletal'!C13)^3</f>
        <v>2158104.0467494354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95</v>
      </c>
      <c r="C19" s="37"/>
      <c r="D19" s="37"/>
      <c r="E19" s="10">
        <f>SUM(E12,E14,E18)</f>
        <v>6570444.6441436661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97</v>
      </c>
      <c r="C8" s="37"/>
      <c r="D8" s="37"/>
      <c r="E8" s="37"/>
      <c r="F8" s="37"/>
      <c r="G8" s="1"/>
    </row>
    <row r="9" spans="1:7" x14ac:dyDescent="0.25">
      <c r="A9" s="1"/>
      <c r="B9" s="66" t="s">
        <v>24</v>
      </c>
      <c r="C9" s="66"/>
      <c r="D9" s="66"/>
      <c r="E9" s="7">
        <v>4481061.3227948397</v>
      </c>
      <c r="F9" s="40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40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40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40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40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56909.478799494464</v>
      </c>
      <c r="F14" s="40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-77145.503627103695</v>
      </c>
      <c r="F15" s="40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4460825.2979672309</v>
      </c>
      <c r="F16" s="38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7"/>
      <c r="F17" s="37"/>
      <c r="G17" s="1"/>
    </row>
    <row r="18" spans="1:7" x14ac:dyDescent="0.25">
      <c r="A18" s="1"/>
      <c r="B18" s="74" t="s">
        <v>12</v>
      </c>
      <c r="C18" s="74"/>
      <c r="D18" s="74"/>
      <c r="E18" s="9">
        <v>2198720.2982926499</v>
      </c>
      <c r="F18" s="38" t="s">
        <v>3</v>
      </c>
      <c r="G18" s="1"/>
    </row>
    <row r="19" spans="1:7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.4" customHeight="1" x14ac:dyDescent="0.25">
      <c r="A20" s="1"/>
      <c r="B20" s="75" t="s">
        <v>49</v>
      </c>
      <c r="C20" s="76"/>
      <c r="D20" s="77"/>
      <c r="E20" s="31">
        <v>0</v>
      </c>
      <c r="F20" s="32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31">
        <v>0</v>
      </c>
      <c r="F21" s="32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-1831902</v>
      </c>
      <c r="F24" s="9" t="s">
        <v>3</v>
      </c>
      <c r="G24" s="1"/>
    </row>
    <row r="25" spans="1:7" x14ac:dyDescent="0.2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8" t="s">
        <v>3</v>
      </c>
      <c r="G26" s="1"/>
    </row>
    <row r="27" spans="1:7" x14ac:dyDescent="0.25">
      <c r="A27" s="1"/>
      <c r="B27" s="37" t="s">
        <v>25</v>
      </c>
      <c r="C27" s="37"/>
      <c r="D27" s="37"/>
      <c r="E27" s="10">
        <f>E16+E18+E22+E24+E26</f>
        <v>4827643.5962598808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8" t="s">
        <v>100</v>
      </c>
      <c r="D9" s="38"/>
      <c r="E9" s="1"/>
      <c r="F9" s="1"/>
    </row>
    <row r="10" spans="1:6" x14ac:dyDescent="0.25">
      <c r="A10" s="1"/>
      <c r="B10" s="26" t="s">
        <v>153</v>
      </c>
      <c r="C10" s="8">
        <v>2009518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6813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14813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2031144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2081006.2290729601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-63020.021666666682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83313.134801399894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20293.113134733212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4890819.656057138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4699544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191275.656057138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4737086.4286108501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5107681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-370594.57138914987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4734740.0596038653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5225834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-491093.94039613474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20293.113134733212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-670412.85572814662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10146.556567366606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-335206.42786407331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30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2020-10-14T08:13:38Z</dcterms:modified>
</cp:coreProperties>
</file>