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Thisted Drikkevand AS (V18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iterate="1" iterateCount="1"/>
</workbook>
</file>

<file path=xl/calcChain.xml><?xml version="1.0" encoding="utf-8"?>
<calcChain xmlns="http://schemas.openxmlformats.org/spreadsheetml/2006/main">
  <c r="C13" i="19" l="1"/>
  <c r="C12" i="19" l="1"/>
  <c r="E11" i="37" l="1"/>
  <c r="E32" i="27" l="1"/>
  <c r="C19" i="23"/>
  <c r="C19" i="22"/>
  <c r="C19" i="15"/>
  <c r="C31" i="2"/>
  <c r="G18" i="40" l="1"/>
  <c r="E25" i="32" l="1"/>
  <c r="E29" i="32" s="1"/>
  <c r="E31" i="32" s="1"/>
  <c r="C17" i="15" l="1"/>
  <c r="C29" i="2"/>
  <c r="F10" i="11"/>
  <c r="E12" i="39" l="1"/>
  <c r="C12" i="39"/>
  <c r="E11" i="29"/>
  <c r="E12" i="29" s="1"/>
  <c r="C14" i="2" s="1"/>
  <c r="C11" i="29"/>
  <c r="J11" i="11"/>
  <c r="H11" i="11"/>
  <c r="C14"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<sst xmlns="http://schemas.openxmlformats.org/spreadsheetml/2006/main" count="510" uniqueCount="253">
  <si>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</si>
  <si>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</si>
  <si>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</si>
  <si>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</si>
  <si>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</si>
  <si>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</si>
  <si>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</si>
  <si>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</si>
  <si>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</si>
  <si>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</si>
  <si>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</si>
  <si>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</si>
  <si>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</si>
  <si>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</si>
  <si>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</si>
  <si>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</si>
  <si>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</si>
  <si>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</si>
  <si>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</si>
  <si>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</si>
  <si>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</si>
  <si>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</si>
  <si>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</si>
  <si>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</si>
  <si>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</si>
  <si>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</si>
  <si>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</si>
  <si>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</si>
  <si>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</si>
  <si>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</si>
  <si>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</si>
  <si>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</si>
  <si>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</si>
  <si>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</si>
  <si>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</si>
  <si>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</si>
  <si>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</si>
  <si>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</si>
  <si>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</si>
  <si>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</si>
  <si>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</si>
  <si>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</si>
  <si>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</si>
  <si>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</si>
  <si>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</si>
  <si>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</si>
  <si>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</si>
  <si>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</si>
  <si>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</si>
  <si>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</si>
  <si>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</si>
  <si>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</si>
  <si>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</si>
  <si>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</si>
  <si>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</si>
  <si>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</si>
  <si>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</si>
  <si>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</si>
  <si>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</si>
  <si>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</si>
  <si>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</si>
  <si>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</si>
  <si>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</si>
  <si>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</si>
  <si>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</si>
  <si>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</si>
  <si>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</si>
  <si>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</si>
  <si>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</si>
  <si>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</si>
  <si>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</si>
  <si>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</si>
  <si>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</si>
  <si>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</si>
  <si>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</si>
  <si>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</si>
  <si>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</si>
  <si>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</si>
  <si>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</si>
  <si>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</si>
  <si>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</si>
  <si>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</si>
  <si>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</si>
  <si>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</si>
  <si>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</si>
  <si>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</si>
  <si>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</si>
  <si>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</si>
  <si>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</si>
  <si>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</si>
  <si>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</si>
  <si>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</si>
  <si>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</si>
  <si>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</si>
  <si>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</si>
  <si>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</si>
  <si>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</si>
  <si>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</si>
  <si>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</si>
  <si>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</si>
  <si>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</si>
  <si>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</si>
  <si>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</si>
  <si>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</si>
  <si>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</si>
  <si>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</si>
  <si>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</si>
  <si>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</si>
  <si>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</si>
  <si>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</si>
  <si>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</si>
  <si>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</si>
  <si>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</si>
  <si>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</si>
  <si>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</si>
  <si>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</si>
  <si>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</si>
  <si>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</si>
  <si>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</si>
  <si>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</si>
  <si>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</si>
  <si>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</si>
  <si>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</si>
  <si>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</si>
  <si>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</si>
  <si>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</si>
  <si>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</si>
  <si>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</si>
  <si>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</si>
  <si>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</si>
  <si>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</si>
  <si>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</si>
  <si>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</si>
  <si>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</si>
  <si>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</si>
  <si>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</si>
  <si>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</si>
  <si>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</si>
  <si>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</si>
  <si>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</si>
  <si>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</si>
  <si>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</si>
  <si>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</si>
  <si>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</si>
  <si>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</si>
  <si>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</si>
  <si>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</si>
  <si>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</si>
  <si>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</si>
  <si>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</si>
  <si>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</si>
  <si>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</si>
  <si>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</si>
  <si>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</si>
  <si>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</si>
  <si>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</si>
  <si>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</si>
  <si>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</si>
  <si>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</si>
  <si>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</si>
  <si>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</si>
  <si>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</si>
  <si>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</si>
  <si>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</si>
  <si>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</si>
  <si>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</si>
  <si>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</si>
  <si>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</si>
  <si>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</si>
  <si>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</si>
  <si>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</si>
  <si>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</si>
  <si>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</si>
  <si>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</si>
  <si>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</si>
  <si>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</si>
  <si>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</si>
  <si>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</si>
  <si>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</si>
  <si>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</si>
  <si>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</si>
  <si>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</si>
  <si>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</si>
  <si>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</si>
  <si>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</si>
  <si>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</si>
  <si>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</si>
  <si>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</si>
  <si>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</si>
  <si>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</si>
  <si>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</si>
  <si>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</si>
  <si>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</si>
  <si>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</si>
  <si>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</si>
  <si>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</si>
  <si>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</si>
  <si>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</si>
  <si>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</si>
  <si>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</si>
  <si>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</si>
  <si>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</si>
  <si>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</si>
  <si>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</si>
  <si>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</si>
  <si>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</si>
  <si>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</si>
  <si>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</si>
  <si>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</si>
  <si>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</si>
  <si>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</si>
  <si>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</si>
  <si>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</si>
  <si>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</si>
  <si>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</si>
  <si>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</si>
  <si>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</si>
  <si>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</si>
  <si>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</si>
  <si>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</si>
  <si>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</si>
  <si>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</si>
  <si>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</si>
  <si>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</si>
  <si>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</si>
  <si>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</si>
  <si>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</si>
  <si>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</si>
  <si>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</si>
  <si>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</si>
  <si>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</si>
  <si>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</si>
  <si>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</si>
  <si>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</si>
  <si>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</si>
  <si>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</si>
  <si>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</si>
  <si>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</si>
  <si>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</si>
  <si>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</si>
  <si>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</si>
  <si>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</si>
  <si>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</si>
  <si>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</si>
  <si>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</si>
  <si>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</si>
  <si>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</si>
  <si>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</si>
  <si>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</si>
  <si>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</si>
  <si>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</si>
  <si>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Indvindingstilladelse</t>
  </si>
  <si>
    <t>Fusion med Skjoldborg Vandværk I/S - afgift af ledningsført vand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</si>
</sst>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65" fontId="8" fillId="4" borderId="1" xfId="1" applyNumberFormat="1" applyFont="1" applyFill="1" applyBorder="1" applyProtection="1"/>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C5">
            <v>1.0168999999999999</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7" t="s">
        <v>194</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104" t="s">
        <v>11</v>
      </c>
      <c r="E21" s="105"/>
      <c r="F21" s="105"/>
      <c r="G21" s="106"/>
      <c r="H21" s="1"/>
      <c r="I21" s="1"/>
    </row>
    <row r="22" spans="1:9" x14ac:dyDescent="0.25">
      <c r="A22" s="1"/>
      <c r="B22" s="1"/>
      <c r="C22" s="6" t="s">
        <v>78</v>
      </c>
      <c r="D22" s="93" t="s">
        <v>164</v>
      </c>
      <c r="E22" s="94"/>
      <c r="F22" s="94"/>
      <c r="G22" s="95"/>
      <c r="H22" s="1"/>
      <c r="I22" s="1"/>
    </row>
    <row r="23" spans="1:9" x14ac:dyDescent="0.25">
      <c r="A23" s="1"/>
      <c r="B23" s="1"/>
      <c r="C23" s="6" t="s">
        <v>8</v>
      </c>
      <c r="D23" s="93" t="s">
        <v>219</v>
      </c>
      <c r="E23" s="94"/>
      <c r="F23" s="94"/>
      <c r="G23" s="95"/>
      <c r="H23" s="1"/>
      <c r="I23" s="1"/>
    </row>
    <row r="24" spans="1:9" x14ac:dyDescent="0.25">
      <c r="A24" s="1"/>
      <c r="B24" s="1"/>
      <c r="C24" s="6" t="s">
        <v>215</v>
      </c>
      <c r="D24" s="93" t="s">
        <v>205</v>
      </c>
      <c r="E24" s="94"/>
      <c r="F24" s="94"/>
      <c r="G24" s="95"/>
      <c r="H24" s="1"/>
      <c r="I24" s="1"/>
    </row>
    <row r="25" spans="1:9" x14ac:dyDescent="0.25">
      <c r="A25" s="1"/>
      <c r="B25" s="1"/>
      <c r="C25" s="6" t="s">
        <v>216</v>
      </c>
      <c r="D25" s="93" t="s">
        <v>79</v>
      </c>
      <c r="E25" s="94"/>
      <c r="F25" s="94"/>
      <c r="G25" s="95"/>
      <c r="H25" s="1"/>
      <c r="I25" s="1"/>
    </row>
    <row r="26" spans="1:9" x14ac:dyDescent="0.25">
      <c r="A26" s="1"/>
      <c r="B26" s="1"/>
      <c r="C26" s="6" t="s">
        <v>217</v>
      </c>
      <c r="D26" s="93" t="s">
        <v>80</v>
      </c>
      <c r="E26" s="94"/>
      <c r="F26" s="94"/>
      <c r="G26" s="95"/>
      <c r="H26" s="1"/>
      <c r="I26" s="1"/>
    </row>
    <row r="27" spans="1:9" x14ac:dyDescent="0.25">
      <c r="A27" s="1"/>
      <c r="B27" s="1"/>
      <c r="C27" s="6" t="s">
        <v>97</v>
      </c>
      <c r="D27" s="93" t="s">
        <v>111</v>
      </c>
      <c r="E27" s="94"/>
      <c r="F27" s="94"/>
      <c r="G27" s="95"/>
      <c r="H27" s="1"/>
      <c r="I27" s="1"/>
    </row>
    <row r="28" spans="1:9" x14ac:dyDescent="0.25">
      <c r="A28" s="1"/>
      <c r="B28" s="1"/>
      <c r="C28" s="6" t="s">
        <v>91</v>
      </c>
      <c r="D28" s="93" t="s">
        <v>34</v>
      </c>
      <c r="E28" s="94"/>
      <c r="F28" s="94"/>
      <c r="G28" s="95"/>
      <c r="H28" s="1"/>
      <c r="I28" s="1"/>
    </row>
    <row r="29" spans="1:9" x14ac:dyDescent="0.25">
      <c r="A29" s="1"/>
      <c r="B29" s="1"/>
      <c r="C29" s="6" t="s">
        <v>218</v>
      </c>
      <c r="D29" s="101" t="s">
        <v>92</v>
      </c>
      <c r="E29" s="102"/>
      <c r="F29" s="102"/>
      <c r="G29" s="10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4"/>
      <c r="B51" s="54"/>
      <c r="C51" s="54"/>
      <c r="D51" s="54"/>
      <c r="E51" s="54"/>
      <c r="F51" s="54"/>
      <c r="G51" s="54"/>
      <c r="H51" s="54"/>
      <c r="I51" s="54"/>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election activeCell="B3" sqref="B3:D4"/>
    </sheetView>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6" t="s">
        <v>181</v>
      </c>
      <c r="C8" s="127"/>
      <c r="D8" s="128"/>
      <c r="E8" s="1"/>
      <c r="F8" s="1"/>
    </row>
    <row r="9" spans="1:6" ht="15" customHeight="1" x14ac:dyDescent="0.25">
      <c r="A9" s="1"/>
      <c r="B9" s="33" t="s">
        <v>30</v>
      </c>
      <c r="C9" s="11" t="s">
        <v>212</v>
      </c>
      <c r="D9" s="11"/>
      <c r="E9" s="1"/>
      <c r="F9" s="1"/>
    </row>
    <row r="10" spans="1:6" x14ac:dyDescent="0.25">
      <c r="A10" s="1"/>
      <c r="B10" s="78" t="s">
        <v>231</v>
      </c>
      <c r="C10" s="9">
        <v>21250573</v>
      </c>
      <c r="D10" s="14" t="s">
        <v>3</v>
      </c>
      <c r="E10" s="1"/>
      <c r="F10" s="1"/>
    </row>
    <row r="11" spans="1:6" x14ac:dyDescent="0.25">
      <c r="A11" s="1"/>
      <c r="B11" s="78" t="s">
        <v>232</v>
      </c>
      <c r="C11" s="9">
        <v>141192</v>
      </c>
      <c r="D11" s="14" t="s">
        <v>3</v>
      </c>
      <c r="E11" s="1"/>
      <c r="F11" s="1"/>
    </row>
    <row r="12" spans="1:6" ht="26.25" x14ac:dyDescent="0.25">
      <c r="A12" s="1"/>
      <c r="B12" s="88" t="s">
        <v>252</v>
      </c>
      <c r="C12" s="9">
        <f>80188*(1+'Fane 13. Nøgletal'!C13)</f>
        <v>81166.293600000005</v>
      </c>
      <c r="D12" s="14" t="s">
        <v>3</v>
      </c>
      <c r="E12" s="1"/>
      <c r="F12" s="1"/>
    </row>
    <row r="13" spans="1:6" x14ac:dyDescent="0.25">
      <c r="A13" s="1"/>
      <c r="B13" s="66" t="s">
        <v>182</v>
      </c>
      <c r="C13" s="12">
        <f>SUM(C10:C12)</f>
        <v>21472931.2936</v>
      </c>
      <c r="D13" s="13" t="s">
        <v>3</v>
      </c>
      <c r="E13" s="1"/>
      <c r="F13" s="1"/>
    </row>
    <row r="14" spans="1:6" x14ac:dyDescent="0.25">
      <c r="A14" s="1"/>
      <c r="B14" s="66" t="s">
        <v>183</v>
      </c>
      <c r="C14" s="12">
        <f>C13*(1+'Fane 13. Nøgletal'!C15)^2</f>
        <v>23029017.935908578</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Fc+yQpP+P71a1KqktQj+463feSMdqG+d05EB+08XkCBUWDX2ozl6tqfnQKwGeNJy2wPOu8csKEDIfM0tSRSxA==" saltValue="IetGRS46yjEGYndRjiCXB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9" t="s">
        <v>184</v>
      </c>
      <c r="C3" s="129"/>
      <c r="D3" s="129"/>
      <c r="E3" s="129"/>
      <c r="F3" s="129"/>
      <c r="G3" s="1"/>
    </row>
    <row r="4" spans="1:7" ht="15" customHeight="1" x14ac:dyDescent="0.25">
      <c r="A4" s="1"/>
      <c r="B4" s="129"/>
      <c r="C4" s="129"/>
      <c r="D4" s="129"/>
      <c r="E4" s="129"/>
      <c r="F4" s="129"/>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26" t="s">
        <v>155</v>
      </c>
      <c r="C8" s="127"/>
      <c r="D8" s="127"/>
      <c r="E8" s="127"/>
      <c r="F8" s="128"/>
      <c r="G8" s="1"/>
    </row>
    <row r="9" spans="1:7" x14ac:dyDescent="0.25">
      <c r="A9" s="1"/>
      <c r="B9" s="133" t="s">
        <v>156</v>
      </c>
      <c r="C9" s="134"/>
      <c r="D9" s="135"/>
      <c r="E9" s="9">
        <v>3634277</v>
      </c>
      <c r="F9" s="14" t="s">
        <v>3</v>
      </c>
      <c r="G9" s="1"/>
    </row>
    <row r="10" spans="1:7" x14ac:dyDescent="0.25">
      <c r="A10" s="1"/>
      <c r="B10" s="148" t="s">
        <v>233</v>
      </c>
      <c r="C10" s="149"/>
      <c r="D10" s="150"/>
      <c r="E10" s="9">
        <v>3634277</v>
      </c>
      <c r="F10" s="53" t="s">
        <v>3</v>
      </c>
      <c r="G10" s="1"/>
    </row>
    <row r="11" spans="1:7" x14ac:dyDescent="0.25">
      <c r="A11" s="1"/>
      <c r="B11" s="133" t="s">
        <v>185</v>
      </c>
      <c r="C11" s="134"/>
      <c r="D11" s="135"/>
      <c r="E11" s="9">
        <v>2504079.7643879503</v>
      </c>
      <c r="F11" s="14" t="s">
        <v>3</v>
      </c>
      <c r="G11" s="1"/>
    </row>
    <row r="12" spans="1:7" x14ac:dyDescent="0.25">
      <c r="A12" s="1"/>
      <c r="B12" s="66"/>
      <c r="C12" s="67"/>
      <c r="D12" s="67"/>
      <c r="E12" s="67"/>
      <c r="F12" s="19"/>
      <c r="G12" s="1"/>
    </row>
    <row r="13" spans="1:7" ht="64.900000000000006" customHeight="1" x14ac:dyDescent="0.25">
      <c r="A13" s="1"/>
      <c r="B13" s="109" t="s">
        <v>249</v>
      </c>
      <c r="C13" s="110"/>
      <c r="D13" s="110"/>
      <c r="E13" s="110"/>
      <c r="F13" s="111"/>
      <c r="G13" s="1"/>
    </row>
    <row r="14" spans="1:7" ht="27" customHeight="1" x14ac:dyDescent="0.25">
      <c r="A14" s="1"/>
      <c r="B14" s="1"/>
      <c r="C14" s="1"/>
      <c r="D14" s="1"/>
      <c r="E14" s="1"/>
      <c r="F14" s="1"/>
      <c r="G14" s="1"/>
    </row>
    <row r="15" spans="1:7" ht="28.5" customHeight="1" x14ac:dyDescent="0.25">
      <c r="A15" s="1"/>
      <c r="B15" s="126" t="s">
        <v>157</v>
      </c>
      <c r="C15" s="127"/>
      <c r="D15" s="127"/>
      <c r="E15" s="127"/>
      <c r="F15" s="128"/>
      <c r="G15" s="1"/>
    </row>
    <row r="16" spans="1:7" x14ac:dyDescent="0.25">
      <c r="A16" s="1"/>
      <c r="B16" s="133" t="s">
        <v>234</v>
      </c>
      <c r="C16" s="134"/>
      <c r="D16" s="135"/>
      <c r="E16" s="9">
        <v>0</v>
      </c>
      <c r="F16" s="14" t="s">
        <v>3</v>
      </c>
      <c r="G16" s="1"/>
    </row>
    <row r="17" spans="1:7" x14ac:dyDescent="0.25">
      <c r="A17" s="1"/>
      <c r="B17" s="133" t="s">
        <v>235</v>
      </c>
      <c r="C17" s="134"/>
      <c r="D17" s="135"/>
      <c r="E17" s="9">
        <v>0</v>
      </c>
      <c r="F17" s="14" t="s">
        <v>3</v>
      </c>
      <c r="G17" s="1"/>
    </row>
    <row r="18" spans="1:7" x14ac:dyDescent="0.25">
      <c r="A18" s="1"/>
      <c r="B18" s="66"/>
      <c r="C18" s="67"/>
      <c r="D18" s="67"/>
      <c r="E18" s="67"/>
      <c r="F18" s="19"/>
      <c r="G18" s="1"/>
    </row>
    <row r="19" spans="1:7" ht="31.5" customHeight="1" x14ac:dyDescent="0.25">
      <c r="A19" s="1"/>
      <c r="B19" s="109" t="s">
        <v>158</v>
      </c>
      <c r="C19" s="110"/>
      <c r="D19" s="110"/>
      <c r="E19" s="110"/>
      <c r="F19" s="111"/>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236</v>
      </c>
      <c r="C22" s="76"/>
      <c r="D22" s="77"/>
      <c r="E22" s="9">
        <v>47337565.1350438</v>
      </c>
      <c r="F22" s="14" t="s">
        <v>3</v>
      </c>
      <c r="G22" s="1"/>
    </row>
    <row r="23" spans="1:7" x14ac:dyDescent="0.25">
      <c r="A23" s="1"/>
      <c r="B23" s="75" t="s">
        <v>187</v>
      </c>
      <c r="C23" s="76"/>
      <c r="D23" s="77"/>
      <c r="E23" s="9">
        <v>49127832</v>
      </c>
      <c r="F23" s="14" t="s">
        <v>3</v>
      </c>
      <c r="G23" s="1"/>
    </row>
    <row r="24" spans="1:7" x14ac:dyDescent="0.25">
      <c r="A24" s="1"/>
      <c r="B24" s="75" t="s">
        <v>31</v>
      </c>
      <c r="C24" s="76"/>
      <c r="D24" s="77"/>
      <c r="E24" s="9">
        <v>0</v>
      </c>
      <c r="F24" s="14" t="s">
        <v>3</v>
      </c>
      <c r="G24" s="1"/>
    </row>
    <row r="25" spans="1:7" x14ac:dyDescent="0.25">
      <c r="A25" s="1"/>
      <c r="B25" s="50" t="s">
        <v>250</v>
      </c>
      <c r="C25" s="51"/>
      <c r="D25" s="52"/>
      <c r="E25" s="56">
        <f>E22-(E23-E24)</f>
        <v>-1790266.8649562001</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26" t="s">
        <v>237</v>
      </c>
      <c r="C28" s="127"/>
      <c r="D28" s="127"/>
      <c r="E28" s="127"/>
      <c r="F28" s="128"/>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4"/>
      <c r="C38" s="54"/>
      <c r="D38" s="54"/>
      <c r="E38" s="54"/>
      <c r="F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sheetData>
  <sheetProtection algorithmName="SHA-512" hashValue="6b9qOWD/pVUaCJ5Io24Mc+XYHq1Ikl0l7T9P512Cs1RuWrjsnU+GdR8nT+QVy0z2PBr/2d0yuBoj4s8glCFOhQ==" saltValue="yPE5o0uheIIlipA1K45se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6" t="s">
        <v>227</v>
      </c>
      <c r="C8" s="127"/>
      <c r="D8" s="127"/>
      <c r="E8" s="127"/>
      <c r="F8" s="127"/>
      <c r="G8" s="127"/>
      <c r="H8" s="128"/>
      <c r="I8" s="1"/>
    </row>
    <row r="9" spans="1:9" ht="15" customHeight="1" x14ac:dyDescent="0.25">
      <c r="A9" s="1"/>
      <c r="B9" s="118" t="s">
        <v>228</v>
      </c>
      <c r="C9" s="119"/>
      <c r="D9" s="119"/>
      <c r="E9" s="119"/>
      <c r="F9" s="119"/>
      <c r="G9" s="119"/>
      <c r="H9" s="120"/>
      <c r="I9" s="1"/>
    </row>
    <row r="10" spans="1:9" x14ac:dyDescent="0.25">
      <c r="A10" s="1"/>
      <c r="B10" s="154" t="s">
        <v>240</v>
      </c>
      <c r="C10" s="155"/>
      <c r="D10" s="155"/>
      <c r="E10" s="155"/>
      <c r="F10" s="156"/>
      <c r="G10" s="55">
        <v>0</v>
      </c>
      <c r="H10" s="9" t="s">
        <v>3</v>
      </c>
      <c r="I10" s="1"/>
    </row>
    <row r="11" spans="1:9" x14ac:dyDescent="0.25">
      <c r="A11" s="1"/>
      <c r="B11" s="154" t="s">
        <v>241</v>
      </c>
      <c r="C11" s="155"/>
      <c r="D11" s="155"/>
      <c r="E11" s="155"/>
      <c r="F11" s="156"/>
      <c r="G11" s="55">
        <v>0</v>
      </c>
      <c r="H11" s="9" t="s">
        <v>3</v>
      </c>
      <c r="I11" s="1"/>
    </row>
    <row r="12" spans="1:9" x14ac:dyDescent="0.25">
      <c r="A12" s="1"/>
      <c r="B12" s="154" t="s">
        <v>242</v>
      </c>
      <c r="C12" s="155"/>
      <c r="D12" s="155"/>
      <c r="E12" s="155"/>
      <c r="F12" s="156"/>
      <c r="G12" s="9">
        <v>0</v>
      </c>
      <c r="H12" s="9" t="s">
        <v>3</v>
      </c>
      <c r="I12" s="1"/>
    </row>
    <row r="13" spans="1:9" x14ac:dyDescent="0.25">
      <c r="A13" s="1"/>
      <c r="B13" s="154" t="s">
        <v>243</v>
      </c>
      <c r="C13" s="155"/>
      <c r="D13" s="155"/>
      <c r="E13" s="155"/>
      <c r="F13" s="156"/>
      <c r="G13" s="9">
        <v>0</v>
      </c>
      <c r="H13" s="9" t="s">
        <v>3</v>
      </c>
      <c r="I13" s="1"/>
    </row>
    <row r="14" spans="1:9" x14ac:dyDescent="0.25">
      <c r="A14" s="1"/>
      <c r="B14" s="154" t="s">
        <v>244</v>
      </c>
      <c r="C14" s="155"/>
      <c r="D14" s="155"/>
      <c r="E14" s="155"/>
      <c r="F14" s="156"/>
      <c r="G14" s="9">
        <v>0</v>
      </c>
      <c r="H14" s="9" t="s">
        <v>3</v>
      </c>
      <c r="I14" s="1"/>
    </row>
    <row r="15" spans="1:9" x14ac:dyDescent="0.25">
      <c r="A15" s="1"/>
      <c r="B15" s="154" t="s">
        <v>245</v>
      </c>
      <c r="C15" s="155"/>
      <c r="D15" s="155"/>
      <c r="E15" s="155"/>
      <c r="F15" s="156"/>
      <c r="G15" s="9">
        <v>0</v>
      </c>
      <c r="H15" s="9" t="s">
        <v>3</v>
      </c>
      <c r="I15" s="1"/>
    </row>
    <row r="16" spans="1:9" x14ac:dyDescent="0.25">
      <c r="A16" s="1"/>
      <c r="B16" s="154" t="s">
        <v>246</v>
      </c>
      <c r="C16" s="155"/>
      <c r="D16" s="155"/>
      <c r="E16" s="155"/>
      <c r="F16" s="156"/>
      <c r="G16" s="9">
        <v>0</v>
      </c>
      <c r="H16" s="9" t="s">
        <v>3</v>
      </c>
      <c r="I16" s="1"/>
    </row>
    <row r="17" spans="1:9" x14ac:dyDescent="0.25">
      <c r="A17" s="1"/>
      <c r="B17" s="154" t="s">
        <v>247</v>
      </c>
      <c r="C17" s="155"/>
      <c r="D17" s="155"/>
      <c r="E17" s="155"/>
      <c r="F17" s="156"/>
      <c r="G17" s="9">
        <v>0</v>
      </c>
      <c r="H17" s="9" t="s">
        <v>3</v>
      </c>
      <c r="I17" s="1"/>
    </row>
    <row r="18" spans="1:9" x14ac:dyDescent="0.25">
      <c r="A18" s="1"/>
      <c r="B18" s="126" t="s">
        <v>229</v>
      </c>
      <c r="C18" s="127"/>
      <c r="D18" s="127"/>
      <c r="E18" s="127"/>
      <c r="F18" s="12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m2NOl/u4W9E040GCMMZMMmWZJb4EYZhNJS88V7KsYweFQUWNAmz7G6pS5KZ4xsCdsua7qv4+GRrUTASsNIx47g==" saltValue="kYmhM/Ehds9ZlWIQLUaqr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election activeCell="B3" sqref="B3:K4"/>
    </sheetView>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6" t="s">
        <v>192</v>
      </c>
      <c r="C8" s="127"/>
      <c r="D8" s="127"/>
      <c r="E8" s="127"/>
      <c r="F8" s="127"/>
      <c r="G8" s="127"/>
      <c r="H8" s="127"/>
      <c r="I8" s="127"/>
      <c r="J8" s="127"/>
      <c r="K8" s="128"/>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0" t="s">
        <v>230</v>
      </c>
      <c r="C10" s="29">
        <v>0</v>
      </c>
      <c r="D10" s="9">
        <v>0</v>
      </c>
      <c r="E10" s="14" t="s">
        <v>3</v>
      </c>
      <c r="F10" s="39">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4"/>
      <c r="B47" s="54"/>
      <c r="C47" s="54"/>
      <c r="D47" s="54"/>
      <c r="E47" s="54"/>
      <c r="F47" s="54"/>
      <c r="G47" s="54"/>
      <c r="H47" s="54"/>
      <c r="I47" s="54"/>
      <c r="J47" s="54"/>
      <c r="K47" s="54"/>
      <c r="L47" s="54"/>
    </row>
    <row r="48" spans="1:12" x14ac:dyDescent="0.25">
      <c r="A48" s="54"/>
      <c r="B48" s="54"/>
      <c r="C48" s="54"/>
      <c r="D48" s="54"/>
      <c r="E48" s="54"/>
      <c r="F48" s="54"/>
      <c r="G48" s="54"/>
      <c r="H48" s="54"/>
      <c r="I48" s="54"/>
      <c r="J48" s="54"/>
      <c r="K48" s="54"/>
      <c r="L48" s="54"/>
    </row>
    <row r="49" spans="1:12" x14ac:dyDescent="0.25">
      <c r="A49" s="54"/>
      <c r="B49" s="54"/>
      <c r="C49" s="54"/>
      <c r="D49" s="54"/>
      <c r="E49" s="54"/>
      <c r="F49" s="54"/>
      <c r="G49" s="54"/>
      <c r="H49" s="54"/>
      <c r="I49" s="54"/>
      <c r="J49" s="54"/>
      <c r="K49" s="54"/>
      <c r="L49" s="54"/>
    </row>
    <row r="50" spans="1:12" x14ac:dyDescent="0.25">
      <c r="A50" s="54"/>
      <c r="B50" s="54"/>
      <c r="C50" s="54"/>
      <c r="D50" s="54"/>
      <c r="E50" s="54"/>
      <c r="F50" s="54"/>
      <c r="G50" s="54"/>
      <c r="H50" s="54"/>
      <c r="I50" s="54"/>
      <c r="J50" s="54"/>
      <c r="K50" s="54"/>
      <c r="L50" s="54"/>
    </row>
    <row r="51" spans="1:12" x14ac:dyDescent="0.25">
      <c r="A51" s="54"/>
      <c r="B51" s="54"/>
      <c r="C51" s="54"/>
      <c r="D51" s="54"/>
      <c r="E51" s="54"/>
      <c r="F51" s="54"/>
      <c r="G51" s="54"/>
      <c r="H51" s="54"/>
      <c r="I51" s="54"/>
      <c r="J51" s="54"/>
      <c r="K51" s="54"/>
      <c r="L51" s="54"/>
    </row>
    <row r="52" spans="1:12" x14ac:dyDescent="0.25">
      <c r="A52" s="54"/>
      <c r="B52" s="54"/>
      <c r="C52" s="54"/>
      <c r="D52" s="54"/>
      <c r="E52" s="54"/>
      <c r="F52" s="54"/>
      <c r="G52" s="54"/>
      <c r="H52" s="54"/>
      <c r="I52" s="54"/>
      <c r="J52" s="54"/>
      <c r="K52" s="54"/>
      <c r="L52" s="54"/>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election activeCell="B3" sqref="B3:F4"/>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248</v>
      </c>
      <c r="C11" s="21">
        <v>130892</v>
      </c>
      <c r="D11" s="14" t="s">
        <v>3</v>
      </c>
      <c r="E11" s="9">
        <f>44137</f>
        <v>44137</v>
      </c>
      <c r="F11" s="14" t="s">
        <v>3</v>
      </c>
      <c r="G11" s="1"/>
    </row>
    <row r="12" spans="1:7" x14ac:dyDescent="0.25">
      <c r="A12" s="1"/>
      <c r="B12" s="26" t="s">
        <v>251</v>
      </c>
      <c r="C12" s="21">
        <v>198840</v>
      </c>
      <c r="D12" s="14" t="s">
        <v>3</v>
      </c>
      <c r="E12" s="9">
        <v>0</v>
      </c>
      <c r="F12" s="14" t="s">
        <v>3</v>
      </c>
      <c r="G12" s="1"/>
    </row>
    <row r="13" spans="1:7" x14ac:dyDescent="0.25">
      <c r="A13" s="1"/>
      <c r="B13" s="66" t="s">
        <v>148</v>
      </c>
      <c r="C13" s="12">
        <f>SUM(C10:C12)</f>
        <v>329732</v>
      </c>
      <c r="D13" s="13" t="s">
        <v>3</v>
      </c>
      <c r="E13" s="12">
        <f>SUM(E10:E12)</f>
        <v>44137</v>
      </c>
      <c r="F13" s="13" t="s">
        <v>3</v>
      </c>
      <c r="G13" s="1"/>
    </row>
    <row r="14" spans="1:7" x14ac:dyDescent="0.25">
      <c r="A14" s="1"/>
      <c r="B14" s="66" t="s">
        <v>188</v>
      </c>
      <c r="C14" s="12">
        <f>C13*(1+'Fane 13. Nøgletal'!C15)</f>
        <v>341470.45920000004</v>
      </c>
      <c r="D14" s="13" t="s">
        <v>3</v>
      </c>
      <c r="E14" s="12">
        <f>E13*(1+'Fane 13. Nøgletal'!C15)</f>
        <v>45708.277200000004</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ahKEO5Ba7ucD3jRHgjailldgD2rrJIZ7qoI9sVttqW9XjzZWLrPDJ6LNwvMlqSqaKP5R+7fGnzoCtPontGetA==" saltValue="Hb+rPgfLTY7X3eycCjb+w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election activeCell="B3" sqref="B3:F4"/>
    </sheetView>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6" t="s">
        <v>88</v>
      </c>
      <c r="C9" s="127"/>
      <c r="D9" s="127"/>
      <c r="E9" s="127"/>
      <c r="F9" s="128"/>
      <c r="G9" s="1"/>
    </row>
    <row r="10" spans="1:7" ht="26.25" x14ac:dyDescent="0.25">
      <c r="A10" s="1"/>
      <c r="B10" s="64" t="s">
        <v>15</v>
      </c>
      <c r="C10" s="64" t="s">
        <v>10</v>
      </c>
      <c r="D10" s="65"/>
      <c r="E10" s="64" t="s">
        <v>29</v>
      </c>
      <c r="F10" s="69"/>
      <c r="G10" s="1"/>
    </row>
    <row r="11" spans="1:7" x14ac:dyDescent="0.25">
      <c r="A11" s="1"/>
      <c r="B11" s="22" t="s">
        <v>251</v>
      </c>
      <c r="C11" s="21">
        <v>495914</v>
      </c>
      <c r="D11" s="14" t="s">
        <v>3</v>
      </c>
      <c r="E11" s="9">
        <v>0</v>
      </c>
      <c r="F11" s="14" t="s">
        <v>3</v>
      </c>
      <c r="G11" s="1"/>
    </row>
    <row r="12" spans="1:7" x14ac:dyDescent="0.25">
      <c r="A12" s="1"/>
      <c r="B12" s="66" t="s">
        <v>195</v>
      </c>
      <c r="C12" s="12">
        <f>SUM(C11:C11)</f>
        <v>495914</v>
      </c>
      <c r="D12" s="13" t="s">
        <v>3</v>
      </c>
      <c r="E12" s="12">
        <f>SUM(E11:E11)</f>
        <v>0</v>
      </c>
      <c r="F12" s="13" t="s">
        <v>3</v>
      </c>
      <c r="G12" s="1"/>
    </row>
    <row r="13" spans="1:7" x14ac:dyDescent="0.25">
      <c r="A13" s="1"/>
      <c r="B13" s="66" t="s">
        <v>119</v>
      </c>
      <c r="C13" s="12">
        <f>C12*(1+'Fane 13. Nøgletal'!$C$15)^2</f>
        <v>531851.57836704003</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Expdcfi1CAHq3siIiAQm4IrLUFOQzY1L0d1lgMrqwrm6o5Ib9YF+VSy11mhG9suUkkyRTT7eX9dWZ7pjMMy7w==" saltValue="a9AQrcddZtzuoLJVC8H8m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223</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112</v>
      </c>
      <c r="C8" s="127"/>
      <c r="D8" s="127"/>
      <c r="E8" s="127"/>
      <c r="F8" s="128"/>
      <c r="G8" s="1"/>
    </row>
    <row r="9" spans="1:7" ht="15" customHeight="1" x14ac:dyDescent="0.25">
      <c r="A9" s="1"/>
      <c r="B9" s="68" t="s">
        <v>113</v>
      </c>
      <c r="C9" s="118" t="s">
        <v>10</v>
      </c>
      <c r="D9" s="120"/>
      <c r="E9" s="118" t="s">
        <v>29</v>
      </c>
      <c r="F9" s="120"/>
      <c r="G9" s="1"/>
    </row>
    <row r="10" spans="1:7" x14ac:dyDescent="0.25">
      <c r="A10" s="1"/>
      <c r="B10" s="22" t="s">
        <v>238</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election activeCell="B3" sqref="B3:F4"/>
    </sheetView>
  </sheetViews>
  <sheetFormatPr defaultColWidth="9" defaultRowHeight="15" x14ac:dyDescent="0.25"/>
  <cols>
    <col min="1" max="1" width="2.85546875" style="2" customWidth="1"/>
    <col min="2" max="2" width="36.28515625" style="2" customWidth="1"/>
    <col min="3" max="3" width="17" style="2" customWidth="1"/>
    <col min="4" max="4" width="3.28515625" style="2" customWidth="1"/>
    <col min="5" max="5" width="17.85546875" style="2" customWidth="1"/>
    <col min="6" max="6" width="3.28515625" style="2" customWidth="1"/>
    <col min="7" max="7" width="2.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224</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6" t="s">
        <v>85</v>
      </c>
      <c r="C10" s="127"/>
      <c r="D10" s="127"/>
      <c r="E10" s="127"/>
      <c r="F10" s="128"/>
      <c r="G10" s="1"/>
    </row>
    <row r="11" spans="1:7" x14ac:dyDescent="0.25">
      <c r="A11" s="1"/>
      <c r="B11" s="68" t="s">
        <v>16</v>
      </c>
      <c r="C11" s="68" t="s">
        <v>10</v>
      </c>
      <c r="D11" s="69"/>
      <c r="E11" s="68" t="s">
        <v>29</v>
      </c>
      <c r="F11" s="69"/>
      <c r="G11" s="1"/>
    </row>
    <row r="12" spans="1:7" x14ac:dyDescent="0.25">
      <c r="A12" s="1"/>
      <c r="B12" s="22" t="s">
        <v>239</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election activeCell="B3" sqref="B3:C4"/>
    </sheetView>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9" t="s">
        <v>225</v>
      </c>
      <c r="C3" s="129"/>
      <c r="D3" s="1"/>
    </row>
    <row r="4" spans="1:4" ht="25.5" customHeight="1" x14ac:dyDescent="0.25">
      <c r="A4" s="1"/>
      <c r="B4" s="129"/>
      <c r="C4" s="12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6" t="s">
        <v>13</v>
      </c>
      <c r="C8" s="45"/>
      <c r="D8" s="1"/>
    </row>
    <row r="9" spans="1:4" x14ac:dyDescent="0.25">
      <c r="A9" s="1"/>
      <c r="B9" s="78" t="s">
        <v>101</v>
      </c>
      <c r="C9" s="46">
        <v>1.2699999999999999E-2</v>
      </c>
      <c r="D9" s="1"/>
    </row>
    <row r="10" spans="1:4" x14ac:dyDescent="0.25">
      <c r="A10" s="1"/>
      <c r="B10" s="78" t="s">
        <v>21</v>
      </c>
      <c r="C10" s="46">
        <v>1.7500000000000002E-2</v>
      </c>
      <c r="D10" s="1"/>
    </row>
    <row r="11" spans="1:4" x14ac:dyDescent="0.25">
      <c r="A11" s="1"/>
      <c r="B11" s="78"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6"/>
      <c r="C16" s="128"/>
      <c r="D16" s="1"/>
    </row>
    <row r="17" spans="1:4" x14ac:dyDescent="0.25">
      <c r="A17" s="1"/>
      <c r="B17" s="1"/>
      <c r="C17" s="44"/>
      <c r="D17" s="1"/>
    </row>
    <row r="18" spans="1:4" x14ac:dyDescent="0.25">
      <c r="A18" s="1"/>
      <c r="B18" s="1"/>
      <c r="C18" s="44"/>
      <c r="D18" s="1"/>
    </row>
    <row r="19" spans="1:4" x14ac:dyDescent="0.25">
      <c r="A19" s="1"/>
      <c r="B19" s="66" t="s">
        <v>89</v>
      </c>
      <c r="C19" s="45"/>
      <c r="D19" s="1"/>
    </row>
    <row r="20" spans="1:4" x14ac:dyDescent="0.25">
      <c r="A20" s="1"/>
      <c r="B20" s="78" t="s">
        <v>103</v>
      </c>
      <c r="C20" s="48">
        <v>9.1000000000000004E-3</v>
      </c>
      <c r="D20" s="1"/>
    </row>
    <row r="21" spans="1:4" x14ac:dyDescent="0.25">
      <c r="A21" s="1"/>
      <c r="B21" s="78" t="s">
        <v>104</v>
      </c>
      <c r="C21" s="48">
        <v>1.77E-2</v>
      </c>
      <c r="D21" s="1"/>
    </row>
    <row r="22" spans="1:4" x14ac:dyDescent="0.25">
      <c r="A22" s="1"/>
      <c r="B22" s="78" t="s">
        <v>105</v>
      </c>
      <c r="C22" s="48">
        <v>8.6999999999999994E-3</v>
      </c>
      <c r="D22" s="1"/>
    </row>
    <row r="23" spans="1:4" x14ac:dyDescent="0.25">
      <c r="A23" s="1"/>
      <c r="B23" s="78" t="s">
        <v>106</v>
      </c>
      <c r="C23" s="48">
        <v>2.8399999999999998E-2</v>
      </c>
      <c r="D23" s="1"/>
    </row>
    <row r="24" spans="1:4" x14ac:dyDescent="0.25">
      <c r="A24" s="1"/>
      <c r="B24" s="78" t="s">
        <v>120</v>
      </c>
      <c r="C24" s="48">
        <v>2.75E-2</v>
      </c>
      <c r="D24" s="1"/>
    </row>
    <row r="25" spans="1:4" x14ac:dyDescent="0.25">
      <c r="A25" s="1"/>
      <c r="B25" s="78" t="s">
        <v>151</v>
      </c>
      <c r="C25" s="48">
        <v>1.4800000000000001E-2</v>
      </c>
      <c r="D25" s="1"/>
    </row>
    <row r="26" spans="1:4" x14ac:dyDescent="0.25">
      <c r="A26" s="1"/>
      <c r="B26" s="24" t="s">
        <v>191</v>
      </c>
      <c r="C26" s="48">
        <v>0</v>
      </c>
      <c r="D26" s="1"/>
    </row>
    <row r="27" spans="1:4" x14ac:dyDescent="0.25">
      <c r="A27" s="1"/>
      <c r="B27" s="66"/>
      <c r="C27" s="45"/>
      <c r="D27" s="1"/>
    </row>
    <row r="28" spans="1:4" x14ac:dyDescent="0.25">
      <c r="A28" s="1"/>
      <c r="B28" s="1"/>
      <c r="C28" s="44"/>
      <c r="D28" s="1"/>
    </row>
    <row r="29" spans="1:4" x14ac:dyDescent="0.25">
      <c r="A29" s="1"/>
      <c r="B29" s="1"/>
      <c r="C29" s="44"/>
      <c r="D29" s="1"/>
    </row>
    <row r="30" spans="1:4" x14ac:dyDescent="0.25">
      <c r="A30" s="1"/>
      <c r="B30" s="66" t="s">
        <v>90</v>
      </c>
      <c r="C30" s="45"/>
      <c r="D30" s="1"/>
    </row>
    <row r="31" spans="1:4" x14ac:dyDescent="0.25">
      <c r="A31" s="1"/>
      <c r="B31" s="78" t="s">
        <v>107</v>
      </c>
      <c r="C31" s="46">
        <v>0.02</v>
      </c>
      <c r="D31" s="1"/>
    </row>
    <row r="32" spans="1:4" x14ac:dyDescent="0.25">
      <c r="A32" s="1"/>
      <c r="B32" s="66"/>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4"/>
      <c r="B50" s="54"/>
      <c r="C50" s="87"/>
      <c r="D50" s="54"/>
    </row>
    <row r="51" spans="1:4" x14ac:dyDescent="0.25">
      <c r="A51" s="54"/>
      <c r="B51" s="54"/>
      <c r="C51" s="87"/>
      <c r="D51" s="54"/>
    </row>
    <row r="52" spans="1:4" x14ac:dyDescent="0.25">
      <c r="A52" s="54"/>
      <c r="B52" s="54"/>
      <c r="C52" s="87"/>
      <c r="D52" s="54"/>
    </row>
    <row r="53" spans="1:4" x14ac:dyDescent="0.25">
      <c r="A53" s="54"/>
      <c r="B53" s="54"/>
      <c r="C53" s="87"/>
      <c r="D53" s="54"/>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election activeCell="B3" sqref="B3:D4"/>
    </sheetView>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25420151.864095613</v>
      </c>
      <c r="D8" s="8" t="s">
        <v>3</v>
      </c>
      <c r="E8" s="1"/>
    </row>
    <row r="9" spans="1:5" ht="17.25" customHeight="1" x14ac:dyDescent="0.25">
      <c r="A9" s="1"/>
      <c r="B9" s="23" t="s">
        <v>35</v>
      </c>
      <c r="C9" s="7">
        <f>'Fane 10.1. Varige tillæg'!C14</f>
        <v>341470.45920000004</v>
      </c>
      <c r="D9" s="8" t="s">
        <v>3</v>
      </c>
      <c r="E9" s="1"/>
    </row>
    <row r="10" spans="1:5" ht="17.25" customHeight="1" x14ac:dyDescent="0.25">
      <c r="A10" s="1"/>
      <c r="B10" s="23" t="s">
        <v>36</v>
      </c>
      <c r="C10" s="9">
        <f>'Fane 10.1. Varige tillæg'!E14</f>
        <v>45708.277200000004</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918740.96937764378</v>
      </c>
      <c r="D15" s="8" t="s">
        <v>3</v>
      </c>
      <c r="E15" s="1"/>
    </row>
    <row r="16" spans="1:5" ht="17.25" customHeight="1" x14ac:dyDescent="0.25">
      <c r="A16" s="1"/>
      <c r="B16" s="23" t="s">
        <v>9</v>
      </c>
      <c r="C16" s="9">
        <f>-SUM(C8,C9:C15)*'Fane 5. Individuelt eff. krav'!G9</f>
        <v>-319344.01433465449</v>
      </c>
      <c r="D16" s="8" t="s">
        <v>3</v>
      </c>
      <c r="E16" s="1"/>
    </row>
    <row r="17" spans="1:5" ht="17.25" customHeight="1" x14ac:dyDescent="0.25">
      <c r="A17" s="1"/>
      <c r="B17" s="23" t="s">
        <v>23</v>
      </c>
      <c r="C17" s="9">
        <f>-'Fane 4.1. Gen. krav - drift'!G43</f>
        <v>-219614.57653650371</v>
      </c>
      <c r="D17" s="8" t="s">
        <v>3</v>
      </c>
      <c r="E17" s="1"/>
    </row>
    <row r="18" spans="1:5" ht="17.25" customHeight="1" x14ac:dyDescent="0.25">
      <c r="A18" s="1"/>
      <c r="B18" s="23" t="s">
        <v>24</v>
      </c>
      <c r="C18" s="9">
        <f>-'Fane 4.2. Gen. krav - anlæg'!G43</f>
        <v>0</v>
      </c>
      <c r="D18" s="8" t="s">
        <v>3</v>
      </c>
      <c r="E18" s="1"/>
    </row>
    <row r="19" spans="1:5" ht="17.25" customHeight="1" x14ac:dyDescent="0.25">
      <c r="A19" s="1"/>
      <c r="B19" s="50" t="s">
        <v>19</v>
      </c>
      <c r="C19" s="10">
        <f>SUM(C8,C9:C18)</f>
        <v>26187112.979002096</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omk.'!C14</f>
        <v>23029017.935908578</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531851.57836704003</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-16992.010361059496</v>
      </c>
      <c r="D25" s="8" t="s">
        <v>3</v>
      </c>
      <c r="E25" s="1"/>
    </row>
    <row r="26" spans="1:5" ht="15" customHeight="1" x14ac:dyDescent="0.25">
      <c r="A26" s="1"/>
      <c r="B26" s="23" t="s">
        <v>207</v>
      </c>
      <c r="C26" s="9">
        <f>-C24*('Fane 13. Nøgletal'!C26+'Fane 5. Individuelt eff. krav'!G9)</f>
        <v>0</v>
      </c>
      <c r="D26" s="8" t="s">
        <v>3</v>
      </c>
      <c r="E26" s="1"/>
    </row>
    <row r="27" spans="1:5" x14ac:dyDescent="0.25">
      <c r="A27" s="1"/>
      <c r="B27" s="50" t="s">
        <v>81</v>
      </c>
      <c r="C27" s="159">
        <f>SUM(C23:C26)</f>
        <v>514859.56800598052</v>
      </c>
      <c r="D27" s="11" t="s">
        <v>3</v>
      </c>
      <c r="E27" s="1"/>
    </row>
    <row r="28" spans="1:5" ht="15" customHeight="1" x14ac:dyDescent="0.25">
      <c r="A28" s="1"/>
      <c r="B28" s="25" t="s">
        <v>128</v>
      </c>
      <c r="C28" s="67"/>
      <c r="D28" s="19"/>
      <c r="E28" s="1"/>
    </row>
    <row r="29" spans="1:5" x14ac:dyDescent="0.25">
      <c r="A29" s="1"/>
      <c r="B29" s="79" t="s">
        <v>129</v>
      </c>
      <c r="C29" s="10">
        <f>'Fane 7. Kontrol af ØR2021'!E31</f>
        <v>0</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6">
        <f>SUM(C19,C21,C27,C29,C31)</f>
        <v>49730990.482916653</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DYhVN/KzrYRlaQD76IjHUS2b2aZMSS/801dlsgthz7JYPKXO6cHDVyK+UPJopYp84eU5+LHbA4HZHb6lwWYg==" saltValue="t1n7qXvdOJvTt5YUu35MR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election activeCell="B3" sqref="B3:D4"/>
    </sheetView>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26187112.979002096</v>
      </c>
      <c r="D8" s="8" t="s">
        <v>3</v>
      </c>
      <c r="E8" s="1"/>
    </row>
    <row r="9" spans="1:5" ht="15" customHeight="1" x14ac:dyDescent="0.25">
      <c r="A9" s="1"/>
      <c r="B9" s="63" t="s">
        <v>17</v>
      </c>
      <c r="C9" s="9">
        <f>SUM(C8:C8)*'Fane 13. Nøgletal'!C15</f>
        <v>932261.22205247462</v>
      </c>
      <c r="D9" s="8" t="s">
        <v>3</v>
      </c>
      <c r="E9" s="1"/>
    </row>
    <row r="10" spans="1:5" ht="15" customHeight="1" x14ac:dyDescent="0.25">
      <c r="A10" s="1"/>
      <c r="B10" s="63" t="s">
        <v>9</v>
      </c>
      <c r="C10" s="9">
        <f>-SUM(C8:C9)*'Fane 5. Individuelt eff. krav'!G9</f>
        <v>-324043.50190286874</v>
      </c>
      <c r="D10" s="8" t="s">
        <v>3</v>
      </c>
      <c r="E10" s="1"/>
    </row>
    <row r="11" spans="1:5" ht="15" customHeight="1" x14ac:dyDescent="0.25">
      <c r="A11" s="1"/>
      <c r="B11" s="63" t="s">
        <v>23</v>
      </c>
      <c r="C11" s="9">
        <f>-'Fane 4.1. Gen. krav - drift'!G48</f>
        <v>-222884.19835197914</v>
      </c>
      <c r="D11" s="8" t="s">
        <v>3</v>
      </c>
      <c r="E11" s="1"/>
    </row>
    <row r="12" spans="1:5" ht="15" customHeight="1" x14ac:dyDescent="0.25">
      <c r="A12" s="1"/>
      <c r="B12" s="63" t="s">
        <v>24</v>
      </c>
      <c r="C12" s="9">
        <f>-'Fane 4.2. Gen. krav - anlæg'!G48</f>
        <v>0</v>
      </c>
      <c r="D12" s="8" t="s">
        <v>3</v>
      </c>
      <c r="E12" s="1"/>
    </row>
    <row r="13" spans="1:5" ht="15" customHeight="1" x14ac:dyDescent="0.25">
      <c r="A13" s="1"/>
      <c r="B13" s="33" t="s">
        <v>19</v>
      </c>
      <c r="C13" s="10">
        <f>SUM(C8:C12)</f>
        <v>26572446.500799723</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f>
        <v>23848850.974426925</v>
      </c>
      <c r="D15" s="11" t="s">
        <v>3</v>
      </c>
      <c r="E15" s="1"/>
    </row>
    <row r="16" spans="1:5" x14ac:dyDescent="0.25">
      <c r="A16" s="1"/>
      <c r="B16" s="25" t="s">
        <v>128</v>
      </c>
      <c r="C16" s="67"/>
      <c r="D16" s="19"/>
      <c r="E16" s="1"/>
    </row>
    <row r="17" spans="1:5" ht="15" customHeight="1" x14ac:dyDescent="0.25">
      <c r="A17" s="1"/>
      <c r="B17" s="79" t="s">
        <v>129</v>
      </c>
      <c r="C17" s="10">
        <f>'Fane 7. Kontrol af ØR2021'!E31</f>
        <v>0</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50421297.475226648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O0lDiGBYhbxXz8MGPkmIaIkxmxpNEZUJqFqa1N/chlWdRF0xUhpblkXlUjdmr893q3ePcUgJaMprSSQWLFz2A==" saltValue="NgJvDdZNmXER7BgZsui1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26572446.500799723</v>
      </c>
      <c r="D8" s="8" t="s">
        <v>3</v>
      </c>
      <c r="E8" s="1"/>
    </row>
    <row r="9" spans="1:5" ht="15" customHeight="1" x14ac:dyDescent="0.25">
      <c r="A9" s="1"/>
      <c r="B9" s="63" t="s">
        <v>17</v>
      </c>
      <c r="C9" s="9">
        <f>SUM(C8:C8)*'Fane 13. Nøgletal'!C15</f>
        <v>945979.09542847017</v>
      </c>
      <c r="D9" s="8" t="s">
        <v>3</v>
      </c>
      <c r="E9" s="1"/>
    </row>
    <row r="10" spans="1:5" ht="15" customHeight="1" x14ac:dyDescent="0.25">
      <c r="A10" s="1"/>
      <c r="B10" s="63" t="s">
        <v>9</v>
      </c>
      <c r="C10" s="9">
        <f>-SUM(C8:C9)*'Fane 5. Individuelt eff. krav'!G9</f>
        <v>-328811.68020125508</v>
      </c>
      <c r="D10" s="8" t="s">
        <v>3</v>
      </c>
      <c r="E10" s="1"/>
    </row>
    <row r="11" spans="1:5" ht="15" customHeight="1" x14ac:dyDescent="0.25">
      <c r="A11" s="1"/>
      <c r="B11" s="63" t="s">
        <v>23</v>
      </c>
      <c r="C11" s="9">
        <f>-'Fane 4.1. Gen. krav - drift'!G53</f>
        <v>-226202.49829704341</v>
      </c>
      <c r="D11" s="8" t="s">
        <v>3</v>
      </c>
      <c r="E11" s="1"/>
    </row>
    <row r="12" spans="1:5" ht="15" customHeight="1" x14ac:dyDescent="0.25">
      <c r="A12" s="1"/>
      <c r="B12" s="63" t="s">
        <v>24</v>
      </c>
      <c r="C12" s="27">
        <f>-'Fane 4.2. Gen. krav - anlæg'!G53</f>
        <v>0</v>
      </c>
      <c r="D12" s="8" t="s">
        <v>3</v>
      </c>
      <c r="E12" s="1"/>
    </row>
    <row r="13" spans="1:5" x14ac:dyDescent="0.25">
      <c r="A13" s="1"/>
      <c r="B13" s="33" t="s">
        <v>19</v>
      </c>
      <c r="C13" s="10">
        <f>SUM(C8:C12)</f>
        <v>26963411.417729896</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Nøgletal'!C15)^2</f>
        <v>24697870.069116525</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51661281.486846417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OSkx7UHrRPht8XsDXiDZWV5y+j/kThm7r12rvos1rjXlCWw2BgiE6TyQaPLBE1VWE0P6AipuXBeoty8L9N9FcA==" saltValue="PzNQecUb4yJmYiHpQvDD8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election activeCell="B3" sqref="B3:D4"/>
    </sheetView>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26963411.417729896</v>
      </c>
      <c r="D8" s="8" t="s">
        <v>3</v>
      </c>
      <c r="E8" s="1"/>
    </row>
    <row r="9" spans="1:5" ht="15" customHeight="1" x14ac:dyDescent="0.25">
      <c r="A9" s="1"/>
      <c r="B9" s="63" t="s">
        <v>17</v>
      </c>
      <c r="C9" s="9">
        <f>SUM(C8:C8)*'Fane 13. Nøgletal'!C15</f>
        <v>959897.44647118426</v>
      </c>
      <c r="D9" s="8" t="s">
        <v>3</v>
      </c>
      <c r="E9" s="1"/>
    </row>
    <row r="10" spans="1:5" ht="15" customHeight="1" x14ac:dyDescent="0.25">
      <c r="A10" s="1"/>
      <c r="B10" s="63" t="s">
        <v>9</v>
      </c>
      <c r="C10" s="9">
        <f>-SUM(C8:C9)*'Fane 5. Individuelt eff. krav'!G9</f>
        <v>-333649.54227886559</v>
      </c>
      <c r="D10" s="8" t="s">
        <v>3</v>
      </c>
      <c r="E10" s="1"/>
    </row>
    <row r="11" spans="1:5" ht="15" customHeight="1" x14ac:dyDescent="0.25">
      <c r="A11" s="1"/>
      <c r="B11" s="63" t="s">
        <v>23</v>
      </c>
      <c r="C11" s="9">
        <f>-'Fane 4.1. Gen. krav - drift'!G58</f>
        <v>-229570.20109168981</v>
      </c>
      <c r="D11" s="8" t="s">
        <v>3</v>
      </c>
      <c r="E11" s="1"/>
    </row>
    <row r="12" spans="1:5" ht="15" customHeight="1" x14ac:dyDescent="0.25">
      <c r="A12" s="1"/>
      <c r="B12" s="63" t="s">
        <v>24</v>
      </c>
      <c r="C12" s="9">
        <f>-'Fane 4.2. Gen. krav - anlæg'!G58</f>
        <v>0</v>
      </c>
      <c r="D12" s="8" t="s">
        <v>3</v>
      </c>
      <c r="E12" s="1"/>
    </row>
    <row r="13" spans="1:5" x14ac:dyDescent="0.25">
      <c r="A13" s="1"/>
      <c r="B13" s="33" t="s">
        <v>19</v>
      </c>
      <c r="C13" s="10">
        <f>SUM(C8:C12)</f>
        <v>27360089.120830525</v>
      </c>
      <c r="D13" s="11" t="s">
        <v>3</v>
      </c>
      <c r="E13" s="1"/>
    </row>
    <row r="14" spans="1:5" x14ac:dyDescent="0.25">
      <c r="A14" s="1"/>
      <c r="B14" s="66" t="s">
        <v>11</v>
      </c>
      <c r="C14" s="67"/>
      <c r="D14" s="19"/>
      <c r="E14" s="1"/>
    </row>
    <row r="15" spans="1:5" ht="15" customHeight="1" x14ac:dyDescent="0.25">
      <c r="A15" s="1"/>
      <c r="B15" s="68" t="s">
        <v>11</v>
      </c>
      <c r="C15" s="10">
        <f>'Fane 6. Ikke-påvirkelige omk.'!C14*(1+'Fane 13. Nøgletal'!C15)^3</f>
        <v>25577114.243577074</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52937203.364407599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8MrzMnLAdzHyzWVx4qWNtIWf3qI8Axk/DFpAB760qonmWafTugJtfpRdwgANIs+0/56tJz6Ml8abdBDrh7fQ==" saltValue="l6JuPbmJAF3j+vga5j2PZ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election activeCell="B3" sqref="B3:F4"/>
    </sheetView>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171</v>
      </c>
      <c r="C3" s="129"/>
      <c r="D3" s="129"/>
      <c r="E3" s="129"/>
      <c r="F3" s="129"/>
      <c r="G3" s="1"/>
    </row>
    <row r="4" spans="1:7" ht="29.2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172</v>
      </c>
      <c r="C8" s="82"/>
      <c r="D8" s="82"/>
      <c r="E8" s="82"/>
      <c r="F8" s="19"/>
      <c r="G8" s="1"/>
    </row>
    <row r="9" spans="1:7" x14ac:dyDescent="0.25">
      <c r="A9" s="1"/>
      <c r="B9" s="130" t="s">
        <v>22</v>
      </c>
      <c r="C9" s="131"/>
      <c r="D9" s="132"/>
      <c r="E9" s="7">
        <v>25600824.625362467</v>
      </c>
      <c r="F9" s="8" t="s">
        <v>3</v>
      </c>
      <c r="G9" s="1"/>
    </row>
    <row r="10" spans="1:7" ht="15" customHeight="1" x14ac:dyDescent="0.25">
      <c r="A10" s="1"/>
      <c r="B10" s="112" t="s">
        <v>35</v>
      </c>
      <c r="C10" s="113"/>
      <c r="D10" s="114"/>
      <c r="E10" s="9">
        <v>186869.64150000003</v>
      </c>
      <c r="F10" s="8" t="s">
        <v>3</v>
      </c>
      <c r="G10" s="1"/>
    </row>
    <row r="11" spans="1:7" ht="15" customHeight="1" x14ac:dyDescent="0.25">
      <c r="A11" s="1"/>
      <c r="B11" s="112" t="s">
        <v>36</v>
      </c>
      <c r="C11" s="113"/>
      <c r="D11" s="114"/>
      <c r="E11" s="9">
        <v>41560.699200000003</v>
      </c>
      <c r="F11" s="8" t="s">
        <v>3</v>
      </c>
      <c r="G11" s="1"/>
    </row>
    <row r="12" spans="1:7" x14ac:dyDescent="0.25">
      <c r="A12" s="1"/>
      <c r="B12" s="112" t="s">
        <v>26</v>
      </c>
      <c r="C12" s="113"/>
      <c r="D12" s="114"/>
      <c r="E12" s="9">
        <v>0</v>
      </c>
      <c r="F12" s="8" t="s">
        <v>3</v>
      </c>
      <c r="G12" s="1"/>
    </row>
    <row r="13" spans="1:7" x14ac:dyDescent="0.25">
      <c r="A13" s="1"/>
      <c r="B13" s="112" t="s">
        <v>25</v>
      </c>
      <c r="C13" s="113"/>
      <c r="D13" s="114"/>
      <c r="E13" s="9">
        <v>0</v>
      </c>
      <c r="F13" s="8" t="s">
        <v>3</v>
      </c>
      <c r="G13" s="1"/>
    </row>
    <row r="14" spans="1:7" x14ac:dyDescent="0.25">
      <c r="A14" s="1"/>
      <c r="B14" s="112" t="s">
        <v>114</v>
      </c>
      <c r="C14" s="113"/>
      <c r="D14" s="114"/>
      <c r="E14" s="9">
        <v>0</v>
      </c>
      <c r="F14" s="8" t="s">
        <v>3</v>
      </c>
      <c r="G14" s="1"/>
    </row>
    <row r="15" spans="1:7" x14ac:dyDescent="0.25">
      <c r="A15" s="1"/>
      <c r="B15" s="112" t="s">
        <v>115</v>
      </c>
      <c r="C15" s="113"/>
      <c r="D15" s="114"/>
      <c r="E15" s="9">
        <v>0</v>
      </c>
      <c r="F15" s="8" t="s">
        <v>3</v>
      </c>
      <c r="G15" s="1"/>
    </row>
    <row r="16" spans="1:7" x14ac:dyDescent="0.25">
      <c r="A16" s="1"/>
      <c r="B16" s="112" t="s">
        <v>17</v>
      </c>
      <c r="C16" s="113"/>
      <c r="D16" s="114"/>
      <c r="E16" s="9">
        <v>313083.8805537321</v>
      </c>
      <c r="F16" s="8" t="s">
        <v>3</v>
      </c>
      <c r="G16" s="30"/>
    </row>
    <row r="17" spans="1:7" x14ac:dyDescent="0.25">
      <c r="A17" s="1"/>
      <c r="B17" s="112" t="s">
        <v>9</v>
      </c>
      <c r="C17" s="113"/>
      <c r="D17" s="114"/>
      <c r="E17" s="9">
        <v>-52982.662591950633</v>
      </c>
      <c r="F17" s="8" t="s">
        <v>3</v>
      </c>
      <c r="G17" s="1"/>
    </row>
    <row r="18" spans="1:7" x14ac:dyDescent="0.25">
      <c r="A18" s="1"/>
      <c r="B18" s="112" t="s">
        <v>23</v>
      </c>
      <c r="C18" s="113"/>
      <c r="D18" s="114"/>
      <c r="E18" s="9">
        <v>-209424.13388034274</v>
      </c>
      <c r="F18" s="8" t="s">
        <v>3</v>
      </c>
      <c r="G18" s="1"/>
    </row>
    <row r="19" spans="1:7" x14ac:dyDescent="0.25">
      <c r="A19" s="1"/>
      <c r="B19" s="112" t="s">
        <v>24</v>
      </c>
      <c r="C19" s="113"/>
      <c r="D19" s="114"/>
      <c r="E19" s="9">
        <v>-459780.1860482964</v>
      </c>
      <c r="F19" s="8" t="s">
        <v>3</v>
      </c>
      <c r="G19" s="1"/>
    </row>
    <row r="20" spans="1:7" x14ac:dyDescent="0.25">
      <c r="A20" s="1"/>
      <c r="B20" s="115" t="s">
        <v>19</v>
      </c>
      <c r="C20" s="116"/>
      <c r="D20" s="117"/>
      <c r="E20" s="31">
        <f>SUM(E9:E19)</f>
        <v>25420151.864095613</v>
      </c>
      <c r="F20" s="34" t="s">
        <v>3</v>
      </c>
      <c r="G20" s="1"/>
    </row>
    <row r="21" spans="1:7" x14ac:dyDescent="0.25">
      <c r="A21" s="1"/>
      <c r="B21" s="81" t="s">
        <v>11</v>
      </c>
      <c r="C21" s="82"/>
      <c r="D21" s="82"/>
      <c r="E21" s="82"/>
      <c r="F21" s="19"/>
      <c r="G21" s="1"/>
    </row>
    <row r="22" spans="1:7" x14ac:dyDescent="0.25">
      <c r="A22" s="1"/>
      <c r="B22" s="123" t="s">
        <v>11</v>
      </c>
      <c r="C22" s="124"/>
      <c r="D22" s="125"/>
      <c r="E22" s="10">
        <v>19825747.061652385</v>
      </c>
      <c r="F22" s="11" t="s">
        <v>3</v>
      </c>
      <c r="G22" s="1"/>
    </row>
    <row r="23" spans="1:7" ht="15" customHeight="1" x14ac:dyDescent="0.25">
      <c r="A23" s="1"/>
      <c r="B23" s="121" t="s">
        <v>80</v>
      </c>
      <c r="C23" s="122"/>
      <c r="D23" s="122"/>
      <c r="E23" s="82"/>
      <c r="F23" s="19"/>
      <c r="G23" s="1"/>
    </row>
    <row r="24" spans="1:7" ht="14.25" customHeight="1" x14ac:dyDescent="0.25">
      <c r="A24" s="1"/>
      <c r="B24" s="109" t="s">
        <v>76</v>
      </c>
      <c r="C24" s="110"/>
      <c r="D24" s="111"/>
      <c r="E24" s="9">
        <v>0</v>
      </c>
      <c r="F24" s="8" t="s">
        <v>3</v>
      </c>
      <c r="G24" s="1"/>
    </row>
    <row r="25" spans="1:7" ht="14.25" customHeight="1" x14ac:dyDescent="0.25">
      <c r="A25" s="1"/>
      <c r="B25" s="109" t="s">
        <v>77</v>
      </c>
      <c r="C25" s="110"/>
      <c r="D25" s="111"/>
      <c r="E25" s="9">
        <v>0</v>
      </c>
      <c r="F25" s="8" t="s">
        <v>3</v>
      </c>
      <c r="G25" s="1"/>
    </row>
    <row r="26" spans="1:7" x14ac:dyDescent="0.25">
      <c r="A26" s="1"/>
      <c r="B26" s="118" t="s">
        <v>81</v>
      </c>
      <c r="C26" s="119"/>
      <c r="D26" s="119"/>
      <c r="E26" s="10">
        <v>0</v>
      </c>
      <c r="F26" s="11" t="s">
        <v>3</v>
      </c>
      <c r="G26" s="1"/>
    </row>
    <row r="27" spans="1:7" x14ac:dyDescent="0.25">
      <c r="A27" s="1"/>
      <c r="B27" s="81" t="s">
        <v>128</v>
      </c>
      <c r="C27" s="82"/>
      <c r="D27" s="82"/>
      <c r="E27" s="82"/>
      <c r="F27" s="19"/>
      <c r="G27" s="1"/>
    </row>
    <row r="28" spans="1:7" ht="15" customHeight="1" x14ac:dyDescent="0.25">
      <c r="A28" s="1"/>
      <c r="B28" s="118" t="s">
        <v>129</v>
      </c>
      <c r="C28" s="119"/>
      <c r="D28" s="120"/>
      <c r="E28" s="10">
        <v>0</v>
      </c>
      <c r="F28" s="11" t="s">
        <v>3</v>
      </c>
      <c r="G28" s="1"/>
    </row>
    <row r="29" spans="1:7" x14ac:dyDescent="0.25">
      <c r="A29" s="1"/>
      <c r="B29" s="81" t="s">
        <v>159</v>
      </c>
      <c r="C29" s="82"/>
      <c r="D29" s="82"/>
      <c r="E29" s="82"/>
      <c r="F29" s="19"/>
      <c r="G29" s="1"/>
    </row>
    <row r="30" spans="1:7" ht="15.75" customHeight="1" x14ac:dyDescent="0.25">
      <c r="A30" s="1"/>
      <c r="B30" s="123" t="s">
        <v>160</v>
      </c>
      <c r="C30" s="124"/>
      <c r="D30" s="125"/>
      <c r="E30" s="10">
        <v>0</v>
      </c>
      <c r="F30" s="11" t="s">
        <v>3</v>
      </c>
      <c r="G30" s="1"/>
    </row>
    <row r="31" spans="1:7" ht="15.75" customHeight="1" x14ac:dyDescent="0.25">
      <c r="A31" s="1"/>
      <c r="B31" s="126" t="s">
        <v>153</v>
      </c>
      <c r="C31" s="127"/>
      <c r="D31" s="127"/>
      <c r="E31" s="127"/>
      <c r="F31" s="128"/>
      <c r="G31" s="1"/>
    </row>
    <row r="32" spans="1:7" ht="15.75" customHeight="1" x14ac:dyDescent="0.25">
      <c r="A32" s="1"/>
      <c r="B32" s="86" t="s">
        <v>154</v>
      </c>
      <c r="C32" s="10"/>
      <c r="D32" s="11"/>
      <c r="E32" s="10">
        <f>'Fane 8. Skattesagen'!G11</f>
        <v>0</v>
      </c>
      <c r="F32" s="11" t="s">
        <v>3</v>
      </c>
      <c r="G32" s="1"/>
    </row>
    <row r="33" spans="1:7" x14ac:dyDescent="0.25">
      <c r="A33" s="1"/>
      <c r="B33" s="35" t="s">
        <v>27</v>
      </c>
      <c r="C33" s="38"/>
      <c r="D33" s="38"/>
      <c r="E33" s="32">
        <f>E20+E22+E26+E28+E30+E32</f>
        <v>45245898.925747998</v>
      </c>
      <c r="F33" s="37" t="s">
        <v>3</v>
      </c>
      <c r="G33" s="1"/>
    </row>
    <row r="34" spans="1:7" ht="27.75" customHeight="1" x14ac:dyDescent="0.25">
      <c r="A34" s="1"/>
      <c r="B34" s="109" t="s">
        <v>173</v>
      </c>
      <c r="C34" s="110"/>
      <c r="D34" s="110"/>
      <c r="E34" s="110"/>
      <c r="F34" s="11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NrRkqykAZGSzCRl/RjKnx6RvKPqgrgm8cvDYsFdhw4uCSP0PfeLOg94sN1W5c1KzdS7k9my5HM5EdHrI+LkDg==" saltValue="/n4lLyujoSOh7Zh193S1F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85546875" style="2" customWidth="1"/>
    <col min="2" max="5" width="9" style="2"/>
    <col min="6" max="6" width="24.42578125" style="2" customWidth="1"/>
    <col min="7" max="7" width="13.28515625" style="43" customWidth="1"/>
    <col min="8" max="8" width="3.7109375" style="2" customWidth="1"/>
    <col min="9" max="9" width="3.140625" style="2" customWidth="1"/>
    <col min="10" max="16384" width="9" style="2"/>
  </cols>
  <sheetData>
    <row r="1" spans="1:9" ht="15" customHeight="1" x14ac:dyDescent="0.25">
      <c r="A1" s="1"/>
      <c r="B1" s="129" t="s">
        <v>98</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29"/>
      <c r="C3" s="129"/>
      <c r="D3" s="129"/>
      <c r="E3" s="129"/>
      <c r="F3" s="129"/>
      <c r="G3" s="129"/>
      <c r="H3" s="129"/>
      <c r="I3" s="1"/>
    </row>
    <row r="4" spans="1:9" x14ac:dyDescent="0.25">
      <c r="A4" s="1"/>
      <c r="B4" s="126" t="s">
        <v>49</v>
      </c>
      <c r="C4" s="127"/>
      <c r="D4" s="127"/>
      <c r="E4" s="127"/>
      <c r="F4" s="127"/>
      <c r="G4" s="127"/>
      <c r="H4" s="128"/>
      <c r="I4" s="1"/>
    </row>
    <row r="5" spans="1:9" x14ac:dyDescent="0.25">
      <c r="A5" s="1"/>
      <c r="B5" s="133" t="s">
        <v>38</v>
      </c>
      <c r="C5" s="134"/>
      <c r="D5" s="134"/>
      <c r="E5" s="134"/>
      <c r="F5" s="135"/>
      <c r="G5" s="57">
        <v>10443057.58097716</v>
      </c>
      <c r="H5" s="14" t="s">
        <v>3</v>
      </c>
      <c r="I5" s="1"/>
    </row>
    <row r="6" spans="1:9" x14ac:dyDescent="0.25">
      <c r="A6" s="1"/>
      <c r="B6" s="133" t="s">
        <v>39</v>
      </c>
      <c r="C6" s="134"/>
      <c r="D6" s="134"/>
      <c r="E6" s="134"/>
      <c r="F6" s="135"/>
      <c r="G6" s="57">
        <f>G5*'Fane 13. Nøgletal'!C31</f>
        <v>208861.15161954321</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26" t="s">
        <v>50</v>
      </c>
      <c r="C9" s="127"/>
      <c r="D9" s="127"/>
      <c r="E9" s="127"/>
      <c r="F9" s="127"/>
      <c r="G9" s="139"/>
      <c r="H9" s="128"/>
      <c r="I9" s="1"/>
    </row>
    <row r="10" spans="1:9" x14ac:dyDescent="0.25">
      <c r="A10" s="1"/>
      <c r="B10" s="133" t="s">
        <v>40</v>
      </c>
      <c r="C10" s="134"/>
      <c r="D10" s="134"/>
      <c r="E10" s="134"/>
      <c r="F10" s="135"/>
      <c r="G10" s="57">
        <f>(G5-G6)*(1+'Fane 13. Nøgletal'!C9)</f>
        <v>10364170.72401046</v>
      </c>
      <c r="H10" s="14" t="s">
        <v>3</v>
      </c>
      <c r="I10" s="1"/>
    </row>
    <row r="11" spans="1:9" x14ac:dyDescent="0.25">
      <c r="A11" s="1"/>
      <c r="B11" s="136" t="s">
        <v>41</v>
      </c>
      <c r="C11" s="137"/>
      <c r="D11" s="137"/>
      <c r="E11" s="137"/>
      <c r="F11" s="138"/>
      <c r="G11" s="57">
        <v>159246.66615</v>
      </c>
      <c r="H11" s="14" t="s">
        <v>3</v>
      </c>
      <c r="I11" s="1"/>
    </row>
    <row r="12" spans="1:9" x14ac:dyDescent="0.25">
      <c r="A12" s="1"/>
      <c r="B12" s="133" t="s">
        <v>42</v>
      </c>
      <c r="C12" s="134"/>
      <c r="D12" s="134"/>
      <c r="E12" s="134"/>
      <c r="F12" s="135"/>
      <c r="G12" s="57">
        <f>(G10+G11)*'Fane 13. Nøgletal'!C31</f>
        <v>210468.34780320921</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26" t="s">
        <v>51</v>
      </c>
      <c r="C15" s="127"/>
      <c r="D15" s="127"/>
      <c r="E15" s="127"/>
      <c r="F15" s="127"/>
      <c r="G15" s="139"/>
      <c r="H15" s="128"/>
      <c r="I15" s="1"/>
    </row>
    <row r="16" spans="1:9" x14ac:dyDescent="0.25">
      <c r="A16" s="1"/>
      <c r="B16" s="133" t="s">
        <v>43</v>
      </c>
      <c r="C16" s="134"/>
      <c r="D16" s="134"/>
      <c r="E16" s="134"/>
      <c r="F16" s="135"/>
      <c r="G16" s="57">
        <f>(G10+G11-G12)*(1+'Fane 13. Nøgletal'!C11)</f>
        <v>10487237.881173087</v>
      </c>
      <c r="H16" s="14" t="s">
        <v>3</v>
      </c>
      <c r="I16" s="1"/>
    </row>
    <row r="17" spans="1:9" x14ac:dyDescent="0.25">
      <c r="A17" s="1"/>
      <c r="B17" s="133" t="s">
        <v>108</v>
      </c>
      <c r="C17" s="134"/>
      <c r="D17" s="134"/>
      <c r="E17" s="134"/>
      <c r="F17" s="135"/>
      <c r="G17" s="57">
        <v>0</v>
      </c>
      <c r="H17" s="14" t="s">
        <v>3</v>
      </c>
      <c r="I17" s="1"/>
    </row>
    <row r="18" spans="1:9" x14ac:dyDescent="0.25">
      <c r="A18" s="1"/>
      <c r="B18" s="136" t="s">
        <v>44</v>
      </c>
      <c r="C18" s="137"/>
      <c r="D18" s="137"/>
      <c r="E18" s="137"/>
      <c r="F18" s="138"/>
      <c r="G18" s="57">
        <v>0</v>
      </c>
      <c r="H18" s="14" t="s">
        <v>3</v>
      </c>
      <c r="I18" s="1"/>
    </row>
    <row r="19" spans="1:9" x14ac:dyDescent="0.25">
      <c r="A19" s="1"/>
      <c r="B19" s="133" t="s">
        <v>45</v>
      </c>
      <c r="C19" s="134"/>
      <c r="D19" s="134"/>
      <c r="E19" s="134"/>
      <c r="F19" s="135"/>
      <c r="G19" s="57">
        <f>SUM(G16:G18)*'Fane 13. Nøgletal'!C31</f>
        <v>209744.75762346174</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26" t="s">
        <v>52</v>
      </c>
      <c r="C22" s="127"/>
      <c r="D22" s="127"/>
      <c r="E22" s="127"/>
      <c r="F22" s="127"/>
      <c r="G22" s="139"/>
      <c r="H22" s="128"/>
      <c r="I22" s="1"/>
    </row>
    <row r="23" spans="1:9" x14ac:dyDescent="0.25">
      <c r="A23" s="1"/>
      <c r="B23" s="133" t="s">
        <v>46</v>
      </c>
      <c r="C23" s="134"/>
      <c r="D23" s="134"/>
      <c r="E23" s="134"/>
      <c r="F23" s="135"/>
      <c r="G23" s="57">
        <f>(SUM(G16:G18)-G19)*(1+'Fane 13. Nøgletal'!C11)</f>
        <v>10451182.757337613</v>
      </c>
      <c r="H23" s="14" t="s">
        <v>3</v>
      </c>
      <c r="I23" s="1"/>
    </row>
    <row r="24" spans="1:9" x14ac:dyDescent="0.25">
      <c r="A24" s="1"/>
      <c r="B24" s="136" t="s">
        <v>47</v>
      </c>
      <c r="C24" s="137"/>
      <c r="D24" s="137"/>
      <c r="E24" s="137"/>
      <c r="F24" s="138"/>
      <c r="G24" s="57">
        <v>0</v>
      </c>
      <c r="H24" s="14" t="s">
        <v>3</v>
      </c>
      <c r="I24" s="1"/>
    </row>
    <row r="25" spans="1:9" x14ac:dyDescent="0.25">
      <c r="A25" s="1"/>
      <c r="B25" s="133" t="s">
        <v>48</v>
      </c>
      <c r="C25" s="134"/>
      <c r="D25" s="134"/>
      <c r="E25" s="134"/>
      <c r="F25" s="135"/>
      <c r="G25" s="57">
        <f>(G23+G24)*'Fane 13. Nøgletal'!C31</f>
        <v>209023.65514675225</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26" t="s">
        <v>132</v>
      </c>
      <c r="C28" s="127"/>
      <c r="D28" s="127"/>
      <c r="E28" s="127"/>
      <c r="F28" s="127"/>
      <c r="G28" s="139"/>
      <c r="H28" s="128"/>
      <c r="I28" s="1"/>
    </row>
    <row r="29" spans="1:9" x14ac:dyDescent="0.25">
      <c r="A29" s="1"/>
      <c r="B29" s="133" t="s">
        <v>55</v>
      </c>
      <c r="C29" s="134"/>
      <c r="D29" s="134"/>
      <c r="E29" s="134"/>
      <c r="F29" s="135"/>
      <c r="G29" s="57">
        <f>(G23+G24-G25)*(1+'Fane 13. Nøgletal'!C13)</f>
        <v>10367113.44323759</v>
      </c>
      <c r="H29" s="14" t="s">
        <v>3</v>
      </c>
      <c r="I29" s="1"/>
    </row>
    <row r="30" spans="1:9" x14ac:dyDescent="0.25">
      <c r="A30" s="1"/>
      <c r="B30" s="133" t="s">
        <v>121</v>
      </c>
      <c r="C30" s="134"/>
      <c r="D30" s="134"/>
      <c r="E30" s="134"/>
      <c r="F30" s="135"/>
      <c r="G30" s="57">
        <v>0</v>
      </c>
      <c r="H30" s="14" t="s">
        <v>3</v>
      </c>
      <c r="I30" s="1"/>
    </row>
    <row r="31" spans="1:9" x14ac:dyDescent="0.25">
      <c r="A31" s="1"/>
      <c r="B31" s="133" t="s">
        <v>126</v>
      </c>
      <c r="C31" s="134"/>
      <c r="D31" s="134"/>
      <c r="E31" s="134"/>
      <c r="F31" s="135"/>
      <c r="G31" s="57">
        <f>(G29+G30)*'Fane 13. Nøgletal'!C31</f>
        <v>207342.26886475179</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26" t="s">
        <v>133</v>
      </c>
      <c r="C34" s="127"/>
      <c r="D34" s="127"/>
      <c r="E34" s="127"/>
      <c r="F34" s="127"/>
      <c r="G34" s="139"/>
      <c r="H34" s="128"/>
      <c r="I34" s="1"/>
    </row>
    <row r="35" spans="1:9" x14ac:dyDescent="0.25">
      <c r="A35" s="1"/>
      <c r="B35" s="133" t="s">
        <v>74</v>
      </c>
      <c r="C35" s="134"/>
      <c r="D35" s="134"/>
      <c r="E35" s="134"/>
      <c r="F35" s="135"/>
      <c r="G35" s="57">
        <f>(G29+G30-G31)*(1+'Fane 13. Nøgletal'!C13)</f>
        <v>10283720.382700186</v>
      </c>
      <c r="H35" s="14" t="s">
        <v>3</v>
      </c>
      <c r="I35" s="1"/>
    </row>
    <row r="36" spans="1:9" x14ac:dyDescent="0.25">
      <c r="A36" s="1"/>
      <c r="B36" s="133" t="s">
        <v>152</v>
      </c>
      <c r="C36" s="134"/>
      <c r="D36" s="134"/>
      <c r="E36" s="134"/>
      <c r="F36" s="135"/>
      <c r="G36" s="57">
        <f>('Fane 3. Omkostninger i ØR2022'!E10+'Fane 3. Omkostninger i ØR2022'!E12+'Fane 3. Omkostninger i ØR2022'!E14)*(1+'Fane 13. Nøgletal'!C14)</f>
        <v>187486.31131695004</v>
      </c>
      <c r="H36" s="14" t="s">
        <v>3</v>
      </c>
      <c r="I36" s="1"/>
    </row>
    <row r="37" spans="1:9" x14ac:dyDescent="0.25">
      <c r="A37" s="1"/>
      <c r="B37" s="133" t="s">
        <v>134</v>
      </c>
      <c r="C37" s="134"/>
      <c r="D37" s="134"/>
      <c r="E37" s="134"/>
      <c r="F37" s="135"/>
      <c r="G37" s="57">
        <f>(G35+G36)*'Fane 13. Nøgletal'!C31</f>
        <v>209424.13388034274</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26" t="s">
        <v>198</v>
      </c>
      <c r="C40" s="127"/>
      <c r="D40" s="127"/>
      <c r="E40" s="127"/>
      <c r="F40" s="127"/>
      <c r="G40" s="139"/>
      <c r="H40" s="128"/>
      <c r="I40" s="1"/>
    </row>
    <row r="41" spans="1:9" x14ac:dyDescent="0.25">
      <c r="A41" s="1"/>
      <c r="B41" s="133" t="s">
        <v>73</v>
      </c>
      <c r="C41" s="134"/>
      <c r="D41" s="134"/>
      <c r="E41" s="134"/>
      <c r="F41" s="135"/>
      <c r="G41" s="57">
        <f>(G35+G36-G37)*(1+'Fane 13. Nøgletal'!C15)</f>
        <v>10627102.019277664</v>
      </c>
      <c r="H41" s="14" t="s">
        <v>3</v>
      </c>
      <c r="I41" s="1"/>
    </row>
    <row r="42" spans="1:9" x14ac:dyDescent="0.25">
      <c r="A42" s="1"/>
      <c r="B42" s="133" t="s">
        <v>197</v>
      </c>
      <c r="C42" s="134"/>
      <c r="D42" s="134"/>
      <c r="E42" s="134"/>
      <c r="F42" s="135"/>
      <c r="G42" s="57">
        <f>('Fane 2.1. Økonomisk ramme 2023'!C9+'Fane 2.1. Økonomisk ramme 2023'!C11+'Fane 2.1. Økonomisk ramme 2023'!C13)*(1+'Fane 13. Nøgletal'!C15)</f>
        <v>353626.80754752009</v>
      </c>
      <c r="H42" s="14" t="s">
        <v>3</v>
      </c>
      <c r="I42" s="1"/>
    </row>
    <row r="43" spans="1:9" x14ac:dyDescent="0.25">
      <c r="A43" s="1"/>
      <c r="B43" s="133" t="s">
        <v>208</v>
      </c>
      <c r="C43" s="134"/>
      <c r="D43" s="134"/>
      <c r="E43" s="134"/>
      <c r="F43" s="135"/>
      <c r="G43" s="57">
        <f>(G41+G42)*'Fane 13. Nøgletal'!C31</f>
        <v>219614.57653650371</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26" t="s">
        <v>199</v>
      </c>
      <c r="C46" s="127"/>
      <c r="D46" s="127"/>
      <c r="E46" s="127"/>
      <c r="F46" s="127"/>
      <c r="G46" s="139"/>
      <c r="H46" s="128"/>
      <c r="I46" s="1"/>
    </row>
    <row r="47" spans="1:9" x14ac:dyDescent="0.25">
      <c r="A47" s="1"/>
      <c r="B47" s="133" t="s">
        <v>122</v>
      </c>
      <c r="C47" s="134"/>
      <c r="D47" s="134"/>
      <c r="E47" s="134"/>
      <c r="F47" s="135"/>
      <c r="G47" s="57">
        <f>(G41+G42-G43)*(1+'Fane 13. Nøgletal'!C15)</f>
        <v>11144209.917598957</v>
      </c>
      <c r="H47" s="14" t="s">
        <v>3</v>
      </c>
      <c r="I47" s="1"/>
    </row>
    <row r="48" spans="1:9" x14ac:dyDescent="0.25">
      <c r="A48" s="1"/>
      <c r="B48" s="133" t="s">
        <v>209</v>
      </c>
      <c r="C48" s="134"/>
      <c r="D48" s="134"/>
      <c r="E48" s="134"/>
      <c r="F48" s="135"/>
      <c r="G48" s="57">
        <f>(G47)*'Fane 13. Nøgletal'!C31</f>
        <v>222884.19835197914</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26" t="s">
        <v>145</v>
      </c>
      <c r="C51" s="127"/>
      <c r="D51" s="127"/>
      <c r="E51" s="127"/>
      <c r="F51" s="127"/>
      <c r="G51" s="139"/>
      <c r="H51" s="128"/>
      <c r="I51" s="1"/>
    </row>
    <row r="52" spans="1:9" x14ac:dyDescent="0.25">
      <c r="A52" s="1"/>
      <c r="B52" s="133" t="s">
        <v>146</v>
      </c>
      <c r="C52" s="134"/>
      <c r="D52" s="134"/>
      <c r="E52" s="134"/>
      <c r="F52" s="135"/>
      <c r="G52" s="57">
        <f>(G47-G48)*(1+'Fane 13. Nøgletal'!C15)</f>
        <v>11310124.91485217</v>
      </c>
      <c r="H52" s="14" t="s">
        <v>3</v>
      </c>
      <c r="I52" s="1"/>
    </row>
    <row r="53" spans="1:9" x14ac:dyDescent="0.25">
      <c r="A53" s="1"/>
      <c r="B53" s="133" t="s">
        <v>147</v>
      </c>
      <c r="C53" s="134"/>
      <c r="D53" s="134"/>
      <c r="E53" s="134"/>
      <c r="F53" s="135"/>
      <c r="G53" s="57">
        <f>(G52)*'Fane 13. Nøgletal'!C31</f>
        <v>226202.49829704341</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26" t="s">
        <v>174</v>
      </c>
      <c r="C56" s="127"/>
      <c r="D56" s="127"/>
      <c r="E56" s="127"/>
      <c r="F56" s="127"/>
      <c r="G56" s="139"/>
      <c r="H56" s="128"/>
      <c r="I56" s="1"/>
    </row>
    <row r="57" spans="1:9" x14ac:dyDescent="0.25">
      <c r="A57" s="1"/>
      <c r="B57" s="133" t="s">
        <v>175</v>
      </c>
      <c r="C57" s="134"/>
      <c r="D57" s="134"/>
      <c r="E57" s="134"/>
      <c r="F57" s="135"/>
      <c r="G57" s="57">
        <f>(G52-G53)*(1+'Fane 13. Nøgletal'!C15)</f>
        <v>11478510.05458449</v>
      </c>
      <c r="H57" s="14" t="s">
        <v>3</v>
      </c>
      <c r="I57" s="1"/>
    </row>
    <row r="58" spans="1:9" x14ac:dyDescent="0.25">
      <c r="A58" s="1"/>
      <c r="B58" s="133" t="s">
        <v>176</v>
      </c>
      <c r="C58" s="134"/>
      <c r="D58" s="134"/>
      <c r="E58" s="134"/>
      <c r="F58" s="135"/>
      <c r="G58" s="57">
        <f>(G57)*'Fane 13. Nøgletal'!C31</f>
        <v>229570.20109168981</v>
      </c>
      <c r="H58" s="14" t="s">
        <v>3</v>
      </c>
      <c r="I58" s="1"/>
    </row>
    <row r="59" spans="1:9" x14ac:dyDescent="0.25">
      <c r="A59" s="1"/>
      <c r="B59" s="66"/>
      <c r="C59" s="67"/>
      <c r="D59" s="67"/>
      <c r="E59" s="67"/>
      <c r="F59" s="67"/>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42578125" style="2" customWidth="1"/>
    <col min="2" max="5" width="9" style="2"/>
    <col min="6" max="6" width="26" style="2" customWidth="1"/>
    <col min="7" max="7" width="10.28515625" style="2" customWidth="1"/>
    <col min="8" max="8" width="2.85546875" style="2" bestFit="1" customWidth="1"/>
    <col min="9" max="9" width="2.4257812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26" t="s">
        <v>53</v>
      </c>
      <c r="C4" s="127"/>
      <c r="D4" s="127"/>
      <c r="E4" s="127"/>
      <c r="F4" s="127"/>
      <c r="G4" s="127"/>
      <c r="H4" s="128"/>
      <c r="I4" s="1"/>
    </row>
    <row r="5" spans="1:9" x14ac:dyDescent="0.25">
      <c r="A5" s="1"/>
      <c r="B5" s="133" t="s">
        <v>56</v>
      </c>
      <c r="C5" s="134"/>
      <c r="D5" s="134"/>
      <c r="E5" s="134"/>
      <c r="F5" s="135"/>
      <c r="G5" s="57">
        <v>16279713.022333013</v>
      </c>
      <c r="H5" s="14" t="s">
        <v>3</v>
      </c>
      <c r="I5" s="1"/>
    </row>
    <row r="6" spans="1:9" x14ac:dyDescent="0.25">
      <c r="A6" s="1"/>
      <c r="B6" s="133" t="s">
        <v>54</v>
      </c>
      <c r="C6" s="134"/>
      <c r="D6" s="134"/>
      <c r="E6" s="134"/>
      <c r="F6" s="135"/>
      <c r="G6" s="57">
        <f>G5*'Fane 13. Nøgletal'!C20</f>
        <v>148145.38850323044</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26" t="s">
        <v>57</v>
      </c>
      <c r="C9" s="127"/>
      <c r="D9" s="127"/>
      <c r="E9" s="127"/>
      <c r="F9" s="127"/>
      <c r="G9" s="139"/>
      <c r="H9" s="128"/>
      <c r="I9" s="1"/>
    </row>
    <row r="10" spans="1:9" x14ac:dyDescent="0.25">
      <c r="A10" s="1"/>
      <c r="B10" s="133" t="s">
        <v>58</v>
      </c>
      <c r="C10" s="134"/>
      <c r="D10" s="134"/>
      <c r="E10" s="134"/>
      <c r="F10" s="135"/>
      <c r="G10" s="57">
        <f>(G5-G6)*(1+'Fane 13. Nøgletal'!C9)</f>
        <v>16336438.54277942</v>
      </c>
      <c r="H10" s="14" t="s">
        <v>3</v>
      </c>
      <c r="I10" s="1"/>
    </row>
    <row r="11" spans="1:9" x14ac:dyDescent="0.25">
      <c r="A11" s="1"/>
      <c r="B11" s="136" t="s">
        <v>59</v>
      </c>
      <c r="C11" s="137"/>
      <c r="D11" s="137"/>
      <c r="E11" s="137"/>
      <c r="F11" s="138"/>
      <c r="G11" s="62">
        <v>183689.21140625002</v>
      </c>
      <c r="H11" s="14" t="s">
        <v>3</v>
      </c>
      <c r="I11" s="1"/>
    </row>
    <row r="12" spans="1:9" x14ac:dyDescent="0.25">
      <c r="A12" s="1"/>
      <c r="B12" s="133" t="s">
        <v>60</v>
      </c>
      <c r="C12" s="134"/>
      <c r="D12" s="134"/>
      <c r="E12" s="134"/>
      <c r="F12" s="135"/>
      <c r="G12" s="57">
        <f>G10*'Fane 13. Nøgletal'!C20+G11*'Fane 13. Nøgletal'!C21</f>
        <v>151912.88978118336</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26" t="s">
        <v>61</v>
      </c>
      <c r="C15" s="127"/>
      <c r="D15" s="127"/>
      <c r="E15" s="127"/>
      <c r="F15" s="127"/>
      <c r="G15" s="139"/>
      <c r="H15" s="128"/>
      <c r="I15" s="1"/>
    </row>
    <row r="16" spans="1:9" x14ac:dyDescent="0.25">
      <c r="A16" s="1"/>
      <c r="B16" s="133" t="s">
        <v>62</v>
      </c>
      <c r="C16" s="134"/>
      <c r="D16" s="134"/>
      <c r="E16" s="134"/>
      <c r="F16" s="135"/>
      <c r="G16" s="57">
        <f>(G10+G11-G12)*(1+'Fane 13. Nøgletal'!C11)</f>
        <v>16644837.69561292</v>
      </c>
      <c r="H16" s="14" t="s">
        <v>3</v>
      </c>
      <c r="I16" s="1"/>
    </row>
    <row r="17" spans="1:9" x14ac:dyDescent="0.25">
      <c r="A17" s="1"/>
      <c r="B17" s="133" t="s">
        <v>109</v>
      </c>
      <c r="C17" s="134"/>
      <c r="D17" s="134"/>
      <c r="E17" s="134"/>
      <c r="F17" s="135"/>
      <c r="G17" s="57">
        <v>124793.44138983981</v>
      </c>
      <c r="H17" s="14" t="s">
        <v>3</v>
      </c>
      <c r="I17" s="1"/>
    </row>
    <row r="18" spans="1:9" x14ac:dyDescent="0.25">
      <c r="A18" s="1"/>
      <c r="B18" s="136" t="s">
        <v>63</v>
      </c>
      <c r="C18" s="137"/>
      <c r="D18" s="137"/>
      <c r="E18" s="137"/>
      <c r="F18" s="138"/>
      <c r="G18" s="57">
        <v>0</v>
      </c>
      <c r="H18" s="14" t="s">
        <v>3</v>
      </c>
      <c r="I18" s="1"/>
    </row>
    <row r="19" spans="1:9" x14ac:dyDescent="0.25">
      <c r="A19" s="1"/>
      <c r="B19" s="133" t="s">
        <v>64</v>
      </c>
      <c r="C19" s="134"/>
      <c r="D19" s="134"/>
      <c r="E19" s="134"/>
      <c r="F19" s="135"/>
      <c r="G19" s="57">
        <f>(G16+G17+G18)*'Fane 13. Nøgletal'!C22</f>
        <v>145895.790891924</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26" t="s">
        <v>65</v>
      </c>
      <c r="C22" s="127"/>
      <c r="D22" s="127"/>
      <c r="E22" s="127"/>
      <c r="F22" s="127"/>
      <c r="G22" s="139"/>
      <c r="H22" s="128"/>
      <c r="I22" s="1"/>
    </row>
    <row r="23" spans="1:9" x14ac:dyDescent="0.25">
      <c r="A23" s="1"/>
      <c r="B23" s="133" t="s">
        <v>66</v>
      </c>
      <c r="C23" s="134"/>
      <c r="D23" s="134"/>
      <c r="E23" s="134"/>
      <c r="F23" s="135"/>
      <c r="G23" s="57">
        <f>(SUM(G16:G18)-G19)*(1+'Fane 13. Nøgletal'!C11)</f>
        <v>16904676.473460108</v>
      </c>
      <c r="H23" s="14" t="s">
        <v>3</v>
      </c>
      <c r="I23" s="1"/>
    </row>
    <row r="24" spans="1:9" x14ac:dyDescent="0.25">
      <c r="A24" s="1"/>
      <c r="B24" s="136" t="s">
        <v>67</v>
      </c>
      <c r="C24" s="137"/>
      <c r="D24" s="137"/>
      <c r="E24" s="137"/>
      <c r="F24" s="138"/>
      <c r="G24" s="57">
        <v>0</v>
      </c>
      <c r="H24" s="14" t="s">
        <v>3</v>
      </c>
      <c r="I24" s="1"/>
    </row>
    <row r="25" spans="1:9" x14ac:dyDescent="0.25">
      <c r="A25" s="1"/>
      <c r="B25" s="133" t="s">
        <v>68</v>
      </c>
      <c r="C25" s="134"/>
      <c r="D25" s="134"/>
      <c r="E25" s="134"/>
      <c r="F25" s="135"/>
      <c r="G25" s="57">
        <f>G23*'Fane 13. Nøgletal'!C22+G24*'Fane 13. Nøgletal'!C23</f>
        <v>147070.68531910292</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26" t="s">
        <v>130</v>
      </c>
      <c r="C28" s="127"/>
      <c r="D28" s="127"/>
      <c r="E28" s="127"/>
      <c r="F28" s="127"/>
      <c r="G28" s="139"/>
      <c r="H28" s="128"/>
      <c r="I28" s="1"/>
    </row>
    <row r="29" spans="1:9" x14ac:dyDescent="0.25">
      <c r="A29" s="1"/>
      <c r="B29" s="133" t="s">
        <v>69</v>
      </c>
      <c r="C29" s="134"/>
      <c r="D29" s="134"/>
      <c r="E29" s="134"/>
      <c r="F29" s="135"/>
      <c r="G29" s="57">
        <f>(G23+G24-G25)*(1+'Fane 13. Nøgletal'!C13)</f>
        <v>16962048.578756325</v>
      </c>
      <c r="H29" s="14" t="s">
        <v>3</v>
      </c>
      <c r="I29" s="1"/>
    </row>
    <row r="30" spans="1:9" x14ac:dyDescent="0.25">
      <c r="A30" s="1"/>
      <c r="B30" s="133" t="s">
        <v>123</v>
      </c>
      <c r="C30" s="134"/>
      <c r="D30" s="134"/>
      <c r="E30" s="134"/>
      <c r="F30" s="135"/>
      <c r="G30" s="57">
        <v>0</v>
      </c>
      <c r="H30" s="14" t="s">
        <v>3</v>
      </c>
      <c r="I30" s="1"/>
    </row>
    <row r="31" spans="1:9" x14ac:dyDescent="0.25">
      <c r="A31" s="1"/>
      <c r="B31" s="133" t="s">
        <v>131</v>
      </c>
      <c r="C31" s="134"/>
      <c r="D31" s="134"/>
      <c r="E31" s="134"/>
      <c r="F31" s="135"/>
      <c r="G31" s="57">
        <f>(G29+G30)*'Fane 13. Nøgletal'!C24</f>
        <v>466456.33591579896</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26" t="s">
        <v>135</v>
      </c>
      <c r="C34" s="127"/>
      <c r="D34" s="127"/>
      <c r="E34" s="127"/>
      <c r="F34" s="127"/>
      <c r="G34" s="139"/>
      <c r="H34" s="128"/>
      <c r="I34" s="1"/>
    </row>
    <row r="35" spans="1:9" x14ac:dyDescent="0.25">
      <c r="A35" s="1"/>
      <c r="B35" s="133" t="s">
        <v>72</v>
      </c>
      <c r="C35" s="134"/>
      <c r="D35" s="134"/>
      <c r="E35" s="134"/>
      <c r="F35" s="135"/>
      <c r="G35" s="57">
        <f>(G29+G30-G31)*(1+'Fane 13. Nøgletal'!C13)</f>
        <v>16696838.468203181</v>
      </c>
      <c r="H35" s="14" t="s">
        <v>3</v>
      </c>
      <c r="I35" s="1"/>
    </row>
    <row r="36" spans="1:9" x14ac:dyDescent="0.25">
      <c r="A36" s="1"/>
      <c r="B36" s="133" t="s">
        <v>141</v>
      </c>
      <c r="C36" s="134"/>
      <c r="D36" s="134"/>
      <c r="E36" s="134"/>
      <c r="F36" s="135"/>
      <c r="G36" s="57">
        <f>SUM('Fane 3. Omkostninger i ØR2022'!E11)*(1+'Fane 13. Nøgletal'!C14)</f>
        <v>41697.849507360006</v>
      </c>
      <c r="H36" s="14" t="s">
        <v>3</v>
      </c>
      <c r="I36" s="1"/>
    </row>
    <row r="37" spans="1:9" x14ac:dyDescent="0.25">
      <c r="A37" s="1"/>
      <c r="B37" s="133" t="s">
        <v>136</v>
      </c>
      <c r="C37" s="134"/>
      <c r="D37" s="134"/>
      <c r="E37" s="134"/>
      <c r="F37" s="135"/>
      <c r="G37" s="57">
        <f>G35*'Fane 13. Nøgletal'!C24+G36*'Fane 13. Nøgletal'!C25</f>
        <v>459780.1860482964</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26" t="s">
        <v>200</v>
      </c>
      <c r="C40" s="127"/>
      <c r="D40" s="127"/>
      <c r="E40" s="127"/>
      <c r="F40" s="127"/>
      <c r="G40" s="139"/>
      <c r="H40" s="128"/>
      <c r="I40" s="1"/>
    </row>
    <row r="41" spans="1:9" x14ac:dyDescent="0.25">
      <c r="A41" s="1"/>
      <c r="B41" s="133" t="s">
        <v>71</v>
      </c>
      <c r="C41" s="134"/>
      <c r="D41" s="134"/>
      <c r="E41" s="134"/>
      <c r="F41" s="135"/>
      <c r="G41" s="57">
        <f>(G35+G36-G37)*(1+'Fane 13. Nøgletal'!C15)</f>
        <v>16858279.849949419</v>
      </c>
      <c r="H41" s="14" t="s">
        <v>3</v>
      </c>
      <c r="I41" s="1"/>
    </row>
    <row r="42" spans="1:9" x14ac:dyDescent="0.25">
      <c r="A42" s="1"/>
      <c r="B42" s="133" t="s">
        <v>211</v>
      </c>
      <c r="C42" s="134"/>
      <c r="D42" s="134"/>
      <c r="E42" s="134"/>
      <c r="F42" s="135"/>
      <c r="G42" s="62">
        <f>SUM('Fane 2.1. Økonomisk ramme 2023'!C10+'Fane 2.1. Økonomisk ramme 2023'!C12+'Fane 2.1. Økonomisk ramme 2023'!C14)*(1+'Fane 13. Nøgletal'!C15)</f>
        <v>47335.491868320009</v>
      </c>
      <c r="H42" s="14" t="s">
        <v>3</v>
      </c>
      <c r="I42" s="1"/>
    </row>
    <row r="43" spans="1:9" x14ac:dyDescent="0.25">
      <c r="A43" s="1"/>
      <c r="B43" s="133" t="s">
        <v>70</v>
      </c>
      <c r="C43" s="134"/>
      <c r="D43" s="134"/>
      <c r="E43" s="134"/>
      <c r="F43" s="135"/>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26" t="s">
        <v>201</v>
      </c>
      <c r="C46" s="127"/>
      <c r="D46" s="127"/>
      <c r="E46" s="127"/>
      <c r="F46" s="127"/>
      <c r="G46" s="139"/>
      <c r="H46" s="128"/>
      <c r="I46" s="1"/>
    </row>
    <row r="47" spans="1:9" x14ac:dyDescent="0.25">
      <c r="A47" s="1"/>
      <c r="B47" s="133" t="s">
        <v>124</v>
      </c>
      <c r="C47" s="134"/>
      <c r="D47" s="134"/>
      <c r="E47" s="134"/>
      <c r="F47" s="135"/>
      <c r="G47" s="57">
        <f>(G41+G42-G43)*(1+'Fane 13. Nøgletal'!C15)</f>
        <v>17507455.247986455</v>
      </c>
      <c r="H47" s="14" t="s">
        <v>3</v>
      </c>
      <c r="I47" s="1"/>
    </row>
    <row r="48" spans="1:9" x14ac:dyDescent="0.25">
      <c r="A48" s="1"/>
      <c r="B48" s="133" t="s">
        <v>125</v>
      </c>
      <c r="C48" s="134"/>
      <c r="D48" s="134"/>
      <c r="E48" s="134"/>
      <c r="F48" s="135"/>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26" t="s">
        <v>142</v>
      </c>
      <c r="C51" s="127"/>
      <c r="D51" s="127"/>
      <c r="E51" s="127"/>
      <c r="F51" s="127"/>
      <c r="G51" s="139"/>
      <c r="H51" s="128"/>
      <c r="I51" s="1"/>
    </row>
    <row r="52" spans="1:9" x14ac:dyDescent="0.25">
      <c r="A52" s="1"/>
      <c r="B52" s="133" t="s">
        <v>143</v>
      </c>
      <c r="C52" s="134"/>
      <c r="D52" s="134"/>
      <c r="E52" s="134"/>
      <c r="F52" s="135"/>
      <c r="G52" s="57">
        <f>(G47-G48)*(1+'Fane 13. Nøgletal'!C15)</f>
        <v>18130720.654814772</v>
      </c>
      <c r="H52" s="14" t="s">
        <v>3</v>
      </c>
      <c r="I52" s="1"/>
    </row>
    <row r="53" spans="1:9" x14ac:dyDescent="0.25">
      <c r="A53" s="1"/>
      <c r="B53" s="133" t="s">
        <v>144</v>
      </c>
      <c r="C53" s="134"/>
      <c r="D53" s="134"/>
      <c r="E53" s="134"/>
      <c r="F53" s="135"/>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26" t="s">
        <v>177</v>
      </c>
      <c r="C56" s="127"/>
      <c r="D56" s="127"/>
      <c r="E56" s="127"/>
      <c r="F56" s="127"/>
      <c r="G56" s="139"/>
      <c r="H56" s="128"/>
      <c r="I56" s="1"/>
    </row>
    <row r="57" spans="1:9" x14ac:dyDescent="0.25">
      <c r="A57" s="1"/>
      <c r="B57" s="133" t="s">
        <v>178</v>
      </c>
      <c r="C57" s="134"/>
      <c r="D57" s="134"/>
      <c r="E57" s="134"/>
      <c r="F57" s="135"/>
      <c r="G57" s="57">
        <f>(G52-G53)*(1+'Fane 13. Nøgletal'!C15)</f>
        <v>18776174.310126178</v>
      </c>
      <c r="H57" s="14" t="s">
        <v>3</v>
      </c>
      <c r="I57" s="1"/>
    </row>
    <row r="58" spans="1:9" x14ac:dyDescent="0.25">
      <c r="A58" s="1"/>
      <c r="B58" s="133" t="s">
        <v>179</v>
      </c>
      <c r="C58" s="134"/>
      <c r="D58" s="134"/>
      <c r="E58" s="134"/>
      <c r="F58" s="135"/>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election activeCell="B3" sqref="B3:G4"/>
    </sheetView>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6" t="s">
        <v>9</v>
      </c>
      <c r="C8" s="127"/>
      <c r="D8" s="127"/>
      <c r="E8" s="127"/>
      <c r="F8" s="127"/>
      <c r="G8" s="128"/>
      <c r="H8" s="1"/>
    </row>
    <row r="9" spans="1:8" x14ac:dyDescent="0.25">
      <c r="A9" s="1"/>
      <c r="B9" s="83" t="s">
        <v>180</v>
      </c>
      <c r="C9" s="84"/>
      <c r="D9" s="84"/>
      <c r="E9" s="84"/>
      <c r="F9" s="85"/>
      <c r="G9" s="28">
        <v>1.194878242766634E-2</v>
      </c>
      <c r="H9" s="1"/>
    </row>
    <row r="10" spans="1:8" x14ac:dyDescent="0.25">
      <c r="A10" s="1"/>
      <c r="B10" s="81"/>
      <c r="C10" s="82"/>
      <c r="D10" s="82"/>
      <c r="E10" s="82"/>
      <c r="F10" s="82"/>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bg6O3YEaBjuxgWPFlJ06vEm/0f3em9uB/NG5QX90rAvmLXFxQ5SfUlicOGZKtaFwuy38JN68lRnbDSnn18zs6w==" saltValue="f6BWLkxvrplwxbq0piBE0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Gammelby Dahlgaard</cp:lastModifiedBy>
  <cp:lastPrinted>2016-06-14T12:57:30Z</cp:lastPrinted>
  <dcterms:created xsi:type="dcterms:W3CDTF">2016-06-02T08:51:18Z</dcterms:created>
  <dcterms:modified xsi:type="dcterms:W3CDTF">2023-02-10T10:02:33Z</dcterms:modified>
</cp:coreProperties>
</file>