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Kalundborg Vandforsyning AS (V112)\ØR2027\"/>
    </mc:Choice>
  </mc:AlternateContent>
  <xr:revisionPtr revIDLastSave="0" documentId="13_ncr:1_{E5398165-C57F-4937-B3CB-DDDA9E4DAF45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2027'!$A$1:$E$25</definedName>
    <definedName name="BlåBlok_2">'2. Differencekonto'!$A$1:$E$27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Differencekonto'!$B$25</definedName>
    <definedName name="DiffKonto_RegulatoriskePct_SidsteÅr">'2. Differencekonto'!$B$24</definedName>
    <definedName name="DiffKonto_Tabel">'2. Differencekonto'!$B$18:$D$20</definedName>
    <definedName name="DiffKonto_Tabel_Note">'2. Differencekonto'!$B$21</definedName>
    <definedName name="DiffKonto_Tabel_Saldo">'2. Differencekonto'!$B$20</definedName>
    <definedName name="DiffKonto_Tabel_Saldo_SidsteÅr">'2. Differencekonto'!$B$19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Differencekonto'!$B$8:$D$16</definedName>
    <definedName name="Kontrol_Tabel_IR">'2. Differencekonto'!$B$9</definedName>
    <definedName name="Kontrol_Tabel_MelRes">'2. Differencekonto'!$B$16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10-tillæg'!$B$9:$B$13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Differencekonto'!$A$1:$E$27</definedName>
    <definedName name="Procentandel_Tabel">'2. Differencekonto'!$B$23:$D$25</definedName>
    <definedName name="Procentandel_Tabel_Note">'2. Differencekonto'!$B$26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2027'!$A$1:$E$25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2027'!$B$8:$D$23</definedName>
    <definedName name="ØR_Tabel_GE">'1. Økonomisk ramme 2027'!$B$16</definedName>
    <definedName name="ØR_Tabel_IE_SletUnder">'1. Økonomisk ramme 2027'!$B$15:$D$15</definedName>
    <definedName name="ØR_Tabel_Skjul_Anlæg">'1. Økonomisk ramme 2027'!$B$11</definedName>
    <definedName name="ØR_Tabel_Skjul_Drik">'1. Økonomisk ramme 2027'!$B$21</definedName>
    <definedName name="ØR_Tabel_Total">'1. Økonomisk ramme 2027'!$B$23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C18" i="9"/>
  <c r="C20" i="9" s="1"/>
  <c r="E19" i="8"/>
  <c r="E18" i="8"/>
  <c r="E17" i="8"/>
  <c r="E16" i="8"/>
  <c r="E15" i="8"/>
  <c r="E14" i="8"/>
  <c r="E13" i="8"/>
  <c r="C13" i="7" s="1"/>
  <c r="E12" i="8"/>
  <c r="C12" i="7" s="1"/>
  <c r="E11" i="8"/>
  <c r="C11" i="7" s="1"/>
  <c r="E10" i="8"/>
  <c r="C10" i="7" s="1"/>
  <c r="E9" i="8"/>
  <c r="C25" i="7"/>
  <c r="C19" i="3" s="1"/>
  <c r="C16" i="6"/>
  <c r="C16" i="12" l="1"/>
  <c r="C21" i="3" s="1"/>
  <c r="C14" i="3"/>
  <c r="C13" i="3"/>
  <c r="E19" i="9"/>
  <c r="C9" i="7"/>
  <c r="C20" i="7" s="1"/>
  <c r="C12" i="4" s="1"/>
  <c r="C12" i="11"/>
  <c r="C20" i="3" s="1"/>
  <c r="C19" i="9"/>
  <c r="C21" i="9" s="1"/>
  <c r="C22" i="9" s="1"/>
  <c r="E20" i="9"/>
  <c r="C12" i="13"/>
  <c r="C11" i="6" s="1"/>
  <c r="C12" i="6" s="1"/>
  <c r="C13" i="6" s="1"/>
  <c r="E12" i="13"/>
  <c r="C17" i="6" s="1"/>
  <c r="C13" i="4" l="1"/>
  <c r="C16" i="4" s="1"/>
  <c r="C20" i="4" s="1"/>
  <c r="C25" i="4" s="1"/>
  <c r="E21" i="9"/>
  <c r="E22" i="9" s="1"/>
  <c r="C10" i="3" s="1"/>
  <c r="C11" i="3"/>
  <c r="C18" i="6"/>
  <c r="C19" i="6" s="1"/>
  <c r="C20" i="6" s="1"/>
  <c r="C16" i="3" s="1"/>
  <c r="C15" i="3" l="1"/>
  <c r="C17" i="3" s="1"/>
  <c r="C18" i="3" s="1"/>
  <c r="C23" i="3" s="1"/>
</calcChain>
</file>

<file path=xl/sharedStrings.xml><?xml version="1.0" encoding="utf-8"?>
<sst xmlns="http://schemas.openxmlformats.org/spreadsheetml/2006/main" count="345" uniqueCount="164">
  <si>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</si>
  <si>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</si>
  <si>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</si>
  <si>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</si>
  <si>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</si>
  <si>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</si>
  <si>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</si>
  <si>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</si>
  <si>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</si>
  <si>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</si>
  <si>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</si>
  <si>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</si>
  <si>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</si>
  <si>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</si>
  <si>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</si>
  <si>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</si>
  <si>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</si>
  <si>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</si>
  <si>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</si>
  <si>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</si>
  <si>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</si>
  <si>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</si>
  <si>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</si>
  <si>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</si>
  <si>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</si>
  <si>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</si>
  <si>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</si>
  <si>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</si>
  <si>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</si>
  <si>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</si>
  <si>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</si>
  <si>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</si>
  <si>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</si>
  <si>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</si>
  <si>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</si>
  <si>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</si>
  <si>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</si>
  <si>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</si>
  <si>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</si>
  <si>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</si>
  <si>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</si>
  <si>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</si>
  <si>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</si>
  <si>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</si>
  <si>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</si>
  <si>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</si>
  <si>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</si>
  <si>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</si>
  <si>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</si>
  <si>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</si>
  <si>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</si>
  <si>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</si>
  <si>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</si>
  <si>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</si>
  <si>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</si>
  <si>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</si>
  <si>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</si>
  <si>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</si>
  <si>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</si>
  <si>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</si>
  <si>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</si>
  <si>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</si>
  <si>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</si>
  <si>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</si>
  <si>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</si>
  <si>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</si>
  <si>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</si>
  <si>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</si>
  <si>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</si>
  <si>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</si>
  <si>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</si>
  <si>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</si>
  <si>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</si>
  <si>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</si>
  <si>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</si>
  <si>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</si>
  <si>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</si>
  <si>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</si>
  <si>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</si>
  <si>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</si>
  <si>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</si>
  <si>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</si>
  <si>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</si>
  <si>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</si>
  <si>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</si>
  <si>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</si>
  <si>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</si>
  <si>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</si>
  <si>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</si>
  <si>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</si>
  <si>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</si>
  <si>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</si>
  <si>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</si>
  <si>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</si>
  <si>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</si>
  <si>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</si>
  <si>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</si>
  <si>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</si>
  <si>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</si>
  <si>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</si>
  <si>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</si>
  <si>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</si>
  <si>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</si>
  <si>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</si>
  <si>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</si>
  <si>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</si>
  <si>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</si>
  <si>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</si>
  <si>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</si>
  <si>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</si>
  <si>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</si>
  <si>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</si>
  <si>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</si>
  <si>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</si>
  <si>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</si>
  <si>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</si>
  <si>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</si>
  <si>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</si>
  <si>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</si>
  <si>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</si>
  <si>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</si>
  <si>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</si>
  <si>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</si>
  <si>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</si>
  <si>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</si>
  <si>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</si>
  <si>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</si>
  <si>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</si>
  <si>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</si>
  <si>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</si>
  <si>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</si>
  <si>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</si>
  <si>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</si>
  <si>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</si>
  <si>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</si>
  <si>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</si>
  <si>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</si>
  <si>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</si>
  <si>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Køb af ydelser og produkter fra andre vandselskaber reguleret af vandsektorloven</t>
  </si>
  <si>
    <t>Ejendomsskatter</t>
  </si>
  <si>
    <t>Tjenestemandspensioner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</si>
  <si>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</si>
  <si>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</si>
  <si>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</si>
  <si>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</si>
  <si>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</si>
  <si>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</si>
  <si>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</si>
  <si>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</si>
  <si>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Justering af enhedspris i POLKA</t>
  </si>
  <si>
    <t>Erstatninger</t>
  </si>
  <si>
    <t>Fire aftaler om dyrkningspraksis 10.410.138 kr. /5 = 2.082.028 kr.</t>
  </si>
  <si>
    <t>Tillæg til pålagte eller frivillige aftaler om dyrkningspraksis eller andre restriktioner i arealanvendelsen, som er periodiseret (4 aftaler + Løgtved By)</t>
  </si>
  <si>
    <t>Afledte omkostninger - grundvandsbeskyttelse</t>
  </si>
  <si>
    <t>Bæredygtighedsrapportering</t>
  </si>
  <si>
    <t>CER-tiltag</t>
  </si>
  <si>
    <t>Etablering af nye arbejdspladser til nye medarbejdere</t>
  </si>
  <si>
    <t>ISO 22000</t>
  </si>
  <si>
    <t>NIS2-tiltag</t>
  </si>
  <si>
    <t>Nye buffertanke v. Novo Nordisk</t>
  </si>
  <si>
    <t>Udvidelse af forsyningsområdet 2025</t>
  </si>
  <si>
    <t xml:space="preserve">Udarbejdelse af energirapport </t>
  </si>
  <si>
    <t>Økonomisk ramme for 2026</t>
  </si>
  <si>
    <t>Periodiserede § 10-tillæg godkendt i 2025 til den økonomiske ramme for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</si>
</sst>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pH5SLEgxzuLbg3CjQixZXHvIpbb7O7TXCREW0v3HCHIqBkVIp5DwKfSVpwa/tfhjBB+5SrSkuOYQhnN9IMAyjQ==" saltValue="vUce3liShR+yzTEfBF2htQ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36864405.243412882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5215409.6797700003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149</v>
      </c>
      <c r="C12" s="32">
        <v>9122.9777199336804</v>
      </c>
      <c r="D12" s="30" t="s">
        <v>31</v>
      </c>
      <c r="E12" s="11"/>
    </row>
    <row r="13" spans="1:5" ht="15" customHeight="1" x14ac:dyDescent="0.25">
      <c r="A13" s="11"/>
      <c r="B13" s="31" t="s">
        <v>24</v>
      </c>
      <c r="C13" s="33">
        <f>-('6. Bortfald'!C12+'6. Bortfald'!E12)</f>
        <v>0</v>
      </c>
      <c r="D13" s="30" t="s">
        <v>31</v>
      </c>
      <c r="E13" s="11"/>
    </row>
    <row r="14" spans="1:5" ht="15" customHeight="1" x14ac:dyDescent="0.25">
      <c r="A14" s="11"/>
      <c r="B14" s="31" t="s">
        <v>34</v>
      </c>
      <c r="C14" s="33">
        <f>'7. Tilknyttet virksomhed'!C12+'7. Tilknyttet virksomhed'!E12</f>
        <v>0</v>
      </c>
      <c r="D14" s="30" t="s">
        <v>31</v>
      </c>
      <c r="E14" s="11"/>
    </row>
    <row r="15" spans="1:5" ht="15" customHeight="1" x14ac:dyDescent="0.25">
      <c r="A15" s="11"/>
      <c r="B15" s="31" t="s">
        <v>35</v>
      </c>
      <c r="C15" s="34">
        <f>-(SUM(C9:C14)*'8. Nøgletal'!C24)</f>
        <v>-841778.75801805628</v>
      </c>
      <c r="D15" s="30" t="s">
        <v>31</v>
      </c>
      <c r="E15" s="11"/>
    </row>
    <row r="16" spans="1:5" ht="15" customHeight="1" x14ac:dyDescent="0.25">
      <c r="A16" s="11"/>
      <c r="B16" s="31" t="s">
        <v>36</v>
      </c>
      <c r="C16" s="34">
        <f>'4. Generelle eff. krav'!C20</f>
        <v>-390578.48894909065</v>
      </c>
      <c r="D16" s="30" t="s">
        <v>31</v>
      </c>
      <c r="E16" s="11"/>
    </row>
    <row r="17" spans="1:5" ht="15" customHeight="1" x14ac:dyDescent="0.25">
      <c r="A17" s="11"/>
      <c r="B17" s="31" t="s">
        <v>37</v>
      </c>
      <c r="C17" s="33">
        <f>SUM(C9:C16)*'8. Nøgletal'!C10</f>
        <v>527049.89043577015</v>
      </c>
      <c r="D17" s="30" t="s">
        <v>31</v>
      </c>
      <c r="E17" s="11"/>
    </row>
    <row r="18" spans="1:5" ht="15" customHeight="1" x14ac:dyDescent="0.25">
      <c r="A18" s="11"/>
      <c r="B18" s="35" t="s">
        <v>38</v>
      </c>
      <c r="C18" s="36">
        <f>SUM(C9:C17)</f>
        <v>41383630.544371441</v>
      </c>
      <c r="D18" s="37" t="s">
        <v>31</v>
      </c>
      <c r="E18" s="11"/>
    </row>
    <row r="19" spans="1:5" ht="15" customHeight="1" x14ac:dyDescent="0.25">
      <c r="A19" s="11"/>
      <c r="B19" s="38" t="s">
        <v>39</v>
      </c>
      <c r="C19" s="34">
        <f>'5.1. § 10-tillæg'!C25</f>
        <v>4282028</v>
      </c>
      <c r="D19" s="39" t="s">
        <v>31</v>
      </c>
      <c r="E19" s="11"/>
    </row>
    <row r="20" spans="1:5" ht="15" customHeight="1" x14ac:dyDescent="0.25">
      <c r="A20" s="11"/>
      <c r="B20" s="40" t="s">
        <v>40</v>
      </c>
      <c r="C20" s="34">
        <f>'5.4. Periodevise driftsomk.'!C12</f>
        <v>0</v>
      </c>
      <c r="D20" s="39" t="s">
        <v>31</v>
      </c>
      <c r="E20" s="11"/>
    </row>
    <row r="21" spans="1:5" ht="15" hidden="1" customHeight="1" x14ac:dyDescent="0.25">
      <c r="A21" s="11"/>
      <c r="B21" s="28" t="s">
        <v>22</v>
      </c>
      <c r="C21" s="34">
        <f>'5.5. Korr. af ØR2025'!C16</f>
        <v>0</v>
      </c>
      <c r="D21" s="39" t="s">
        <v>31</v>
      </c>
      <c r="E21" s="11"/>
    </row>
    <row r="22" spans="1:5" ht="15" customHeight="1" x14ac:dyDescent="0.25">
      <c r="A22" s="11"/>
      <c r="B22" s="38" t="s">
        <v>42</v>
      </c>
      <c r="C22" s="34">
        <v>0</v>
      </c>
      <c r="D22" s="39" t="s">
        <v>31</v>
      </c>
      <c r="E22" s="11"/>
    </row>
    <row r="23" spans="1:5" ht="15" customHeight="1" x14ac:dyDescent="0.25">
      <c r="A23" s="11"/>
      <c r="B23" s="25" t="s">
        <v>4</v>
      </c>
      <c r="C23" s="41">
        <f>SUM(C18:C22)</f>
        <v>45665658.544371441</v>
      </c>
      <c r="D23" s="27" t="s">
        <v>31</v>
      </c>
      <c r="E23" s="11"/>
    </row>
    <row r="24" spans="1:5" ht="15" customHeight="1" x14ac:dyDescent="0.25">
      <c r="A24" s="11"/>
      <c r="B24" s="11"/>
      <c r="C24" s="11"/>
      <c r="D24" s="11"/>
      <c r="E24" s="11"/>
    </row>
    <row r="25" spans="1:5" ht="15" customHeight="1" x14ac:dyDescent="0.25">
      <c r="A25" s="11"/>
      <c r="B25" s="11"/>
      <c r="C25" s="11"/>
      <c r="D25" s="11"/>
      <c r="E25" s="11"/>
    </row>
  </sheetData>
  <sheetProtection algorithmName="SHA-512" hashValue="oQJ7Vc8JnTEYx4BUXIQwb7NHIG0RA3mAKYskjtq0afgD1X1LX1iyTKfPzHu83RGDKeSDsOSsbyy560TrM3XAYg==" saltValue="8jLaaom4xILYw+N+Wc9urw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82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83</v>
      </c>
      <c r="C8" s="26"/>
      <c r="D8" s="27"/>
      <c r="E8" s="11"/>
    </row>
    <row r="9" spans="1:5" ht="15" customHeight="1" x14ac:dyDescent="0.25">
      <c r="A9" s="11"/>
      <c r="B9" s="44" t="s">
        <v>127</v>
      </c>
      <c r="C9" s="45">
        <v>67017666</v>
      </c>
      <c r="D9" s="46" t="s">
        <v>31</v>
      </c>
      <c r="E9" s="11"/>
    </row>
    <row r="10" spans="1:5" ht="15" customHeight="1" x14ac:dyDescent="0.25">
      <c r="A10" s="11"/>
      <c r="B10" s="44" t="s">
        <v>129</v>
      </c>
      <c r="C10" s="45">
        <f>'3. Omk. i ØR2026'!C10</f>
        <v>324092.35227799998</v>
      </c>
      <c r="D10" s="46" t="s">
        <v>31</v>
      </c>
      <c r="E10" s="11"/>
    </row>
    <row r="11" spans="1:5" ht="15" customHeight="1" x14ac:dyDescent="0.25">
      <c r="A11" s="11"/>
      <c r="B11" s="44" t="s">
        <v>163</v>
      </c>
      <c r="C11" s="45">
        <v>2200000</v>
      </c>
      <c r="D11" s="46" t="s">
        <v>31</v>
      </c>
      <c r="E11" s="11"/>
    </row>
    <row r="12" spans="1:5" ht="15" customHeight="1" x14ac:dyDescent="0.25">
      <c r="A12" s="11"/>
      <c r="B12" s="44" t="s">
        <v>130</v>
      </c>
      <c r="C12" s="47">
        <f>'5.1. § 10-tillæg'!C20+'5.2. Varige tillæg'!C18+'5.2. Varige tillæg'!E18+'5.3. Engangstillæg'!C13+'5.3. Engangstillæg'!E13</f>
        <v>7587099.1642142106</v>
      </c>
      <c r="D12" s="46" t="s">
        <v>31</v>
      </c>
      <c r="E12" s="11"/>
    </row>
    <row r="13" spans="1:5" ht="15" customHeight="1" x14ac:dyDescent="0.25">
      <c r="A13" s="11"/>
      <c r="B13" s="35" t="s">
        <v>128</v>
      </c>
      <c r="C13" s="36">
        <f>C9+C10+C11+C12</f>
        <v>77128857.516492203</v>
      </c>
      <c r="D13" s="37" t="s">
        <v>31</v>
      </c>
      <c r="E13" s="11"/>
    </row>
    <row r="14" spans="1:5" ht="15" customHeight="1" x14ac:dyDescent="0.25">
      <c r="A14" s="11"/>
      <c r="B14" s="44" t="s">
        <v>84</v>
      </c>
      <c r="C14" s="45">
        <v>68822367</v>
      </c>
      <c r="D14" s="46" t="s">
        <v>31</v>
      </c>
      <c r="E14" s="11"/>
    </row>
    <row r="15" spans="1:5" ht="15" customHeight="1" x14ac:dyDescent="0.25">
      <c r="A15" s="11"/>
      <c r="B15" s="48" t="s">
        <v>43</v>
      </c>
      <c r="C15" s="45">
        <v>0</v>
      </c>
      <c r="D15" s="46" t="s">
        <v>31</v>
      </c>
      <c r="E15" s="11"/>
    </row>
    <row r="16" spans="1:5" ht="15" customHeight="1" x14ac:dyDescent="0.25">
      <c r="A16" s="11"/>
      <c r="B16" s="25" t="s">
        <v>131</v>
      </c>
      <c r="C16" s="41">
        <f>C13-C14</f>
        <v>8306490.5164922029</v>
      </c>
      <c r="D16" s="27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25" t="s">
        <v>85</v>
      </c>
      <c r="C18" s="26"/>
      <c r="D18" s="27"/>
      <c r="E18" s="11"/>
    </row>
    <row r="19" spans="1:5" ht="15" customHeight="1" x14ac:dyDescent="0.25">
      <c r="A19" s="11"/>
      <c r="B19" s="44" t="s">
        <v>126</v>
      </c>
      <c r="C19" s="45">
        <v>4364404</v>
      </c>
      <c r="D19" s="46" t="s">
        <v>31</v>
      </c>
      <c r="E19" s="11"/>
    </row>
    <row r="20" spans="1:5" ht="15" customHeight="1" x14ac:dyDescent="0.25">
      <c r="A20" s="11"/>
      <c r="B20" s="25" t="s">
        <v>142</v>
      </c>
      <c r="C20" s="41">
        <f>C16+C19</f>
        <v>12670894.516492203</v>
      </c>
      <c r="D20" s="27" t="s">
        <v>31</v>
      </c>
      <c r="E20" s="11"/>
    </row>
    <row r="21" spans="1:5" ht="49.5" customHeight="1" x14ac:dyDescent="0.25">
      <c r="A21" s="11"/>
      <c r="B21" s="49" t="s">
        <v>143</v>
      </c>
      <c r="C21" s="50"/>
      <c r="D21" s="51"/>
      <c r="E21" s="11"/>
    </row>
    <row r="22" spans="1:5" ht="15" customHeight="1" x14ac:dyDescent="0.25">
      <c r="A22" s="11"/>
      <c r="B22" s="11"/>
      <c r="C22" s="43"/>
      <c r="D22" s="11"/>
      <c r="E22" s="11"/>
    </row>
    <row r="23" spans="1:5" ht="15" customHeight="1" x14ac:dyDescent="0.25">
      <c r="A23" s="11"/>
      <c r="B23" s="25" t="s">
        <v>144</v>
      </c>
      <c r="C23" s="26"/>
      <c r="D23" s="27"/>
      <c r="E23" s="11"/>
    </row>
    <row r="24" spans="1:5" ht="27.95" customHeight="1" x14ac:dyDescent="0.25">
      <c r="A24" s="11"/>
      <c r="B24" s="52" t="s">
        <v>145</v>
      </c>
      <c r="C24" s="53">
        <f>100*4364404/(68736170+4356320)</f>
        <v>5.9710703520977324</v>
      </c>
      <c r="D24" s="46" t="s">
        <v>146</v>
      </c>
      <c r="E24" s="11"/>
    </row>
    <row r="25" spans="1:5" ht="27.95" customHeight="1" x14ac:dyDescent="0.25">
      <c r="A25" s="11"/>
      <c r="B25" s="52" t="s">
        <v>147</v>
      </c>
      <c r="C25" s="53">
        <f>C20/C13*100</f>
        <v>16.428214969711991</v>
      </c>
      <c r="D25" s="46" t="s">
        <v>146</v>
      </c>
      <c r="E25" s="11"/>
    </row>
    <row r="26" spans="1:5" ht="56.25" customHeight="1" x14ac:dyDescent="0.25">
      <c r="A26" s="11"/>
      <c r="B26" s="49" t="s">
        <v>148</v>
      </c>
      <c r="C26" s="50"/>
      <c r="D26" s="51"/>
      <c r="E26" s="11"/>
    </row>
    <row r="27" spans="1:5" ht="15" customHeight="1" x14ac:dyDescent="0.25">
      <c r="A27" s="11"/>
      <c r="B27" s="11"/>
      <c r="C27" s="43"/>
      <c r="D27" s="11"/>
      <c r="E27" s="11"/>
    </row>
  </sheetData>
  <sheetProtection algorithmName="SHA-512" hashValue="QH0PnfNOT/9gPnH5/8cCrWIyk0hokvgxL+yXnBZNYhpfQ2QFoDP+GdTuJgU+049rAwszyravtbRBWWMDHmR6jg==" saltValue="rOy/DIDyj8LY83qjQUrjNQ==" spinCount="100000" sheet="1" objects="1" scenarios="1"/>
  <mergeCells count="3">
    <mergeCell ref="B26:D26"/>
    <mergeCell ref="B3:D5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86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134</v>
      </c>
      <c r="C8" s="57"/>
      <c r="D8" s="58"/>
      <c r="E8" s="54"/>
    </row>
    <row r="9" spans="1:5" ht="15" customHeight="1" x14ac:dyDescent="0.25">
      <c r="A9" s="54"/>
      <c r="B9" s="59" t="s">
        <v>121</v>
      </c>
      <c r="C9" s="60">
        <v>35298276.576874644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324092.35227799998</v>
      </c>
      <c r="D10" s="61" t="s">
        <v>31</v>
      </c>
      <c r="E10" s="54"/>
    </row>
    <row r="11" spans="1:5" ht="15" customHeight="1" x14ac:dyDescent="0.25">
      <c r="A11" s="54"/>
      <c r="B11" s="62" t="s">
        <v>61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-712447.37858305289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-337657.4190748196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2292141.1119181034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36864405.243412882</v>
      </c>
      <c r="D17" s="68" t="s">
        <v>31</v>
      </c>
      <c r="E17" s="54"/>
    </row>
    <row r="18" spans="1:5" ht="15" customHeight="1" x14ac:dyDescent="0.25">
      <c r="A18" s="54"/>
      <c r="B18" s="69" t="s">
        <v>122</v>
      </c>
      <c r="C18" s="65">
        <v>2200000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-3694868.4801249467</v>
      </c>
      <c r="D20" s="74" t="s">
        <v>31</v>
      </c>
      <c r="E20" s="54"/>
    </row>
    <row r="21" spans="1:5" ht="15" customHeight="1" x14ac:dyDescent="0.25">
      <c r="A21" s="54"/>
      <c r="B21" s="59" t="s">
        <v>123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162</v>
      </c>
      <c r="C23" s="75">
        <v>35369536.763287932</v>
      </c>
      <c r="D23" s="58" t="s">
        <v>31</v>
      </c>
      <c r="E23" s="54"/>
    </row>
    <row r="24" spans="1:5" ht="30" customHeight="1" x14ac:dyDescent="0.25">
      <c r="A24" s="54"/>
      <c r="B24" s="76" t="s">
        <v>135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X4D8Ha7KTzJKbT/j48LzJ6aBZ/niaOd1NK0eFtYqAhN2+A/P3sJDrscm7pknKzqMoJWBB2TyuJuJC5tkJCNOyA==" saltValue="v/XW8uyJ9ABNHCYuZmFO7w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87</v>
      </c>
      <c r="C8" s="81"/>
      <c r="D8" s="82"/>
      <c r="E8" s="11"/>
    </row>
    <row r="9" spans="1:5" ht="15" customHeight="1" x14ac:dyDescent="0.25">
      <c r="A9" s="11"/>
      <c r="B9" s="52" t="s">
        <v>88</v>
      </c>
      <c r="C9" s="2">
        <v>18002205.297974009</v>
      </c>
      <c r="D9" s="46" t="s">
        <v>31</v>
      </c>
      <c r="E9" s="11"/>
    </row>
    <row r="10" spans="1:5" ht="15" customHeight="1" x14ac:dyDescent="0.25">
      <c r="A10" s="11"/>
      <c r="B10" s="83" t="s">
        <v>89</v>
      </c>
      <c r="C10" s="3">
        <f>-'8. Nøgletal'!C19*C9</f>
        <v>-360044.10595948016</v>
      </c>
      <c r="D10" s="46" t="s">
        <v>31</v>
      </c>
      <c r="E10" s="11"/>
    </row>
    <row r="11" spans="1:5" ht="15" customHeight="1" x14ac:dyDescent="0.25">
      <c r="A11" s="11"/>
      <c r="B11" s="83" t="s">
        <v>90</v>
      </c>
      <c r="C11" s="2">
        <f>('5.2. Varige tillæg'!C18)*(1+'8. Nøgletal'!C9)*(1-'8. Nøgletal'!C19)+'5.6 Anlægsprojekter'!C12-'6. Bortfald'!C12+'7. Tilknyttet virksomhed'!C12</f>
        <v>1886763.25544</v>
      </c>
      <c r="D11" s="46" t="s">
        <v>31</v>
      </c>
      <c r="E11" s="11"/>
    </row>
    <row r="12" spans="1:5" ht="15" customHeight="1" x14ac:dyDescent="0.25">
      <c r="A12" s="11"/>
      <c r="B12" s="52" t="s">
        <v>91</v>
      </c>
      <c r="C12" s="2">
        <f>SUM(C9:C11)</f>
        <v>19528924.447454531</v>
      </c>
      <c r="D12" s="46" t="s">
        <v>31</v>
      </c>
      <c r="E12" s="11"/>
    </row>
    <row r="13" spans="1:5" ht="15" customHeight="1" x14ac:dyDescent="0.25">
      <c r="A13" s="11"/>
      <c r="B13" s="84" t="s">
        <v>92</v>
      </c>
      <c r="C13" s="85">
        <f>-C12*'8. Nøgletal'!C19</f>
        <v>-390578.48894909065</v>
      </c>
      <c r="D13" s="86" t="s">
        <v>31</v>
      </c>
      <c r="E13" s="87"/>
    </row>
    <row r="14" spans="1:5" ht="15" customHeight="1" x14ac:dyDescent="0.25">
      <c r="A14" s="11"/>
      <c r="B14" s="80" t="s">
        <v>93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25555277.635337655</v>
      </c>
      <c r="D15" s="46" t="s">
        <v>31</v>
      </c>
      <c r="E15" s="11"/>
    </row>
    <row r="16" spans="1:5" ht="15" customHeight="1" x14ac:dyDescent="0.25">
      <c r="A16" s="11"/>
      <c r="B16" s="83" t="s">
        <v>89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94</v>
      </c>
      <c r="C17" s="2">
        <f>('5.2. Varige tillæg'!E18)*(1+'8. Nøgletal'!C9)*(1-'8. Nøgletal'!C14)+'5.6 Anlægsprojekter'!E12-'6. Bortfald'!E12+'7. Tilknyttet virksomhed'!E12+'1. Økonomisk ramme 2027'!C12</f>
        <v>3444992.158219934</v>
      </c>
      <c r="D17" s="46" t="s">
        <v>31</v>
      </c>
      <c r="E17" s="11"/>
    </row>
    <row r="18" spans="1:5" ht="15" customHeight="1" x14ac:dyDescent="0.25">
      <c r="A18" s="11"/>
      <c r="B18" s="52" t="s">
        <v>95</v>
      </c>
      <c r="C18" s="2">
        <f>SUM(C15:C17)</f>
        <v>29000269.793557588</v>
      </c>
      <c r="D18" s="46" t="s">
        <v>31</v>
      </c>
      <c r="E18" s="11"/>
    </row>
    <row r="19" spans="1:5" ht="15" customHeight="1" x14ac:dyDescent="0.25">
      <c r="A19" s="11"/>
      <c r="B19" s="84" t="s">
        <v>96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97</v>
      </c>
      <c r="C20" s="41">
        <f>C13+C19</f>
        <v>-390578.48894909065</v>
      </c>
      <c r="D20" s="27" t="s">
        <v>31</v>
      </c>
      <c r="E20" s="11"/>
    </row>
    <row r="21" spans="1:5" ht="39.950000000000003" customHeight="1" x14ac:dyDescent="0.25">
      <c r="A21" s="11"/>
      <c r="B21" s="88" t="s">
        <v>124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p8YDc3Sfc861b9Oy5b2azsTkdvf9F+Upkk0UkgeufBcNTIZCVeVDQaNnjo1U7Xd3cE4q/WokeJbm3P+I2MM0AA==" saltValue="n6bsHqcGS9Y8jMw9K+hSXA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98</v>
      </c>
      <c r="C8" s="92"/>
      <c r="D8" s="93"/>
      <c r="E8" s="11"/>
    </row>
    <row r="9" spans="1:5" ht="15" customHeight="1" x14ac:dyDescent="0.25">
      <c r="A9" s="11"/>
      <c r="B9" s="94" t="s">
        <v>136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137</v>
      </c>
      <c r="C10" s="33">
        <f>'5.1.a. § 10-tillæg'!E10</f>
        <v>13585.634214210004</v>
      </c>
      <c r="D10" s="46" t="s">
        <v>31</v>
      </c>
      <c r="E10" s="11"/>
    </row>
    <row r="11" spans="1:5" ht="15" customHeight="1" x14ac:dyDescent="0.25">
      <c r="A11" s="11"/>
      <c r="B11" s="94" t="s">
        <v>138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4" t="s">
        <v>139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5" t="s">
        <v>140</v>
      </c>
      <c r="C13" s="33">
        <f>'5.1.a. § 10-tillæg'!E13</f>
        <v>0</v>
      </c>
      <c r="D13" s="46" t="s">
        <v>31</v>
      </c>
      <c r="E13" s="11"/>
    </row>
    <row r="14" spans="1:5" ht="15" customHeight="1" x14ac:dyDescent="0.25">
      <c r="A14" s="11"/>
      <c r="B14" s="95" t="s">
        <v>150</v>
      </c>
      <c r="C14" s="96">
        <v>433756.53</v>
      </c>
      <c r="D14" s="46" t="s">
        <v>31</v>
      </c>
      <c r="E14" s="11"/>
    </row>
    <row r="15" spans="1:5" ht="15" customHeight="1" x14ac:dyDescent="0.25">
      <c r="A15" s="11"/>
      <c r="B15" s="95" t="s">
        <v>151</v>
      </c>
      <c r="C15" s="96">
        <v>2082028</v>
      </c>
      <c r="D15" s="46" t="s">
        <v>31</v>
      </c>
      <c r="E15" s="11"/>
    </row>
    <row r="16" spans="1:5" ht="15" customHeight="1" x14ac:dyDescent="0.25">
      <c r="A16" s="11"/>
      <c r="B16" s="95"/>
      <c r="C16" s="96"/>
      <c r="D16" s="46" t="s">
        <v>31</v>
      </c>
      <c r="E16" s="11"/>
    </row>
    <row r="17" spans="1:5" ht="15" customHeight="1" x14ac:dyDescent="0.25">
      <c r="A17" s="11"/>
      <c r="B17" s="95"/>
      <c r="C17" s="96"/>
      <c r="D17" s="46" t="s">
        <v>31</v>
      </c>
      <c r="E17" s="11"/>
    </row>
    <row r="18" spans="1:5" ht="15" customHeight="1" x14ac:dyDescent="0.25">
      <c r="A18" s="11"/>
      <c r="B18" s="95"/>
      <c r="C18" s="96"/>
      <c r="D18" s="46" t="s">
        <v>31</v>
      </c>
      <c r="E18" s="11"/>
    </row>
    <row r="19" spans="1:5" ht="15" customHeight="1" x14ac:dyDescent="0.25">
      <c r="A19" s="11"/>
      <c r="B19" s="95"/>
      <c r="C19" s="96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2529370.1642142101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2" t="s">
        <v>152</v>
      </c>
      <c r="C24" s="103">
        <v>4282028</v>
      </c>
      <c r="D24" s="104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4282028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adP3MpaMiDIC9meBzD88dYHuEIMZuIeWD6F9Of20uvWj3BX0kOLQ6W/dokUgh4oLKDG1RXT64N7v6RbPAjNVdA==" saltValue="aZK861Ska3EUCW7nIWzVNw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99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125</v>
      </c>
      <c r="C8" s="106" t="s">
        <v>100</v>
      </c>
      <c r="D8" s="107" t="s">
        <v>101</v>
      </c>
      <c r="E8" s="107" t="s">
        <v>102</v>
      </c>
      <c r="F8" s="27"/>
      <c r="G8" s="11"/>
    </row>
    <row r="9" spans="1:7" ht="15" customHeight="1" x14ac:dyDescent="0.25">
      <c r="A9" s="11"/>
      <c r="B9" s="94" t="s">
        <v>136</v>
      </c>
      <c r="C9" s="33">
        <v>24983622.436792541</v>
      </c>
      <c r="D9" s="33">
        <v>23098531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137</v>
      </c>
      <c r="C10" s="33">
        <v>132222.36578579</v>
      </c>
      <c r="D10" s="33">
        <v>145808</v>
      </c>
      <c r="E10" s="33">
        <f t="shared" ref="E10:E19" si="0">MAX(D10-C10,0)</f>
        <v>13585.634214210004</v>
      </c>
      <c r="F10" s="46" t="s">
        <v>31</v>
      </c>
      <c r="G10" s="11"/>
    </row>
    <row r="11" spans="1:7" ht="15" customHeight="1" x14ac:dyDescent="0.25">
      <c r="A11" s="11"/>
      <c r="B11" s="94" t="s">
        <v>138</v>
      </c>
      <c r="C11" s="33">
        <v>10125726.598493339</v>
      </c>
      <c r="D11" s="33">
        <v>9205628</v>
      </c>
      <c r="E11" s="33">
        <f t="shared" si="0"/>
        <v>0</v>
      </c>
      <c r="F11" s="46" t="s">
        <v>31</v>
      </c>
      <c r="G11" s="11"/>
    </row>
    <row r="12" spans="1:7" ht="15" customHeight="1" x14ac:dyDescent="0.25">
      <c r="A12" s="11"/>
      <c r="B12" s="94" t="s">
        <v>139</v>
      </c>
      <c r="C12" s="33">
        <v>67824.066899879996</v>
      </c>
      <c r="D12" s="33">
        <v>48648</v>
      </c>
      <c r="E12" s="33">
        <f t="shared" si="0"/>
        <v>0</v>
      </c>
      <c r="F12" s="46" t="s">
        <v>31</v>
      </c>
      <c r="G12" s="11"/>
    </row>
    <row r="13" spans="1:7" ht="15" customHeight="1" x14ac:dyDescent="0.25">
      <c r="A13" s="11"/>
      <c r="B13" s="95" t="s">
        <v>140</v>
      </c>
      <c r="C13" s="33">
        <v>104862.83849732</v>
      </c>
      <c r="D13" s="33">
        <v>65254</v>
      </c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8" t="s">
        <v>103</v>
      </c>
      <c r="C21" s="109"/>
      <c r="D21" s="109"/>
      <c r="E21" s="109"/>
      <c r="F21" s="110"/>
      <c r="G21" s="11"/>
    </row>
    <row r="22" spans="1:7" ht="15" customHeight="1" x14ac:dyDescent="0.25">
      <c r="A22" s="11"/>
      <c r="B22" s="111"/>
      <c r="C22" s="100"/>
      <c r="D22" s="100"/>
      <c r="E22" s="100"/>
      <c r="F22" s="100"/>
      <c r="G22" s="11"/>
    </row>
    <row r="23" spans="1:7" ht="15" customHeight="1" x14ac:dyDescent="0.25">
      <c r="A23" s="11"/>
      <c r="B23" s="111"/>
      <c r="C23" s="100"/>
      <c r="D23" s="100"/>
      <c r="E23" s="100"/>
      <c r="F23" s="100"/>
      <c r="G23" s="11"/>
    </row>
  </sheetData>
  <sheetProtection algorithmName="SHA-512" hashValue="4Kx9+YFjnG57memzdTPeaTDqVnMC1HmTc0gSY4alJea0LW+xcROB0r26vyWyk38ZwviiG8YSRqR6tA/KPbcWCQ==" saltValue="Xksz9aBCWxaHCbHbeIAnVw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50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51</v>
      </c>
      <c r="C9" s="35" t="s">
        <v>52</v>
      </c>
      <c r="D9" s="113"/>
      <c r="E9" s="35" t="s">
        <v>53</v>
      </c>
      <c r="F9" s="114"/>
      <c r="G9" s="11"/>
    </row>
    <row r="10" spans="1:7" ht="15" customHeight="1" x14ac:dyDescent="0.25">
      <c r="A10" s="11"/>
      <c r="B10" s="115" t="s">
        <v>153</v>
      </c>
      <c r="C10" s="33">
        <v>0</v>
      </c>
      <c r="D10" s="46" t="s">
        <v>31</v>
      </c>
      <c r="E10" s="33">
        <v>33842</v>
      </c>
      <c r="F10" s="46" t="s">
        <v>31</v>
      </c>
      <c r="G10" s="11"/>
    </row>
    <row r="11" spans="1:7" ht="15" customHeight="1" x14ac:dyDescent="0.25">
      <c r="A11" s="11"/>
      <c r="B11" s="115" t="s">
        <v>154</v>
      </c>
      <c r="C11" s="33">
        <v>403340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5" t="s">
        <v>155</v>
      </c>
      <c r="C12" s="33">
        <v>295824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115" t="s">
        <v>156</v>
      </c>
      <c r="C13" s="33">
        <v>0</v>
      </c>
      <c r="D13" s="46" t="s">
        <v>31</v>
      </c>
      <c r="E13" s="33">
        <v>129950</v>
      </c>
      <c r="F13" s="46" t="s">
        <v>31</v>
      </c>
      <c r="G13" s="11"/>
    </row>
    <row r="14" spans="1:7" ht="15" customHeight="1" x14ac:dyDescent="0.25">
      <c r="A14" s="11"/>
      <c r="B14" s="115" t="s">
        <v>157</v>
      </c>
      <c r="C14" s="33">
        <v>169462</v>
      </c>
      <c r="D14" s="46" t="s">
        <v>31</v>
      </c>
      <c r="E14" s="33">
        <v>0</v>
      </c>
      <c r="F14" s="46" t="s">
        <v>31</v>
      </c>
      <c r="G14" s="11"/>
    </row>
    <row r="15" spans="1:7" ht="15" customHeight="1" x14ac:dyDescent="0.25">
      <c r="A15" s="11"/>
      <c r="B15" s="115" t="s">
        <v>158</v>
      </c>
      <c r="C15" s="33">
        <v>109408</v>
      </c>
      <c r="D15" s="46" t="s">
        <v>31</v>
      </c>
      <c r="E15" s="33">
        <v>0</v>
      </c>
      <c r="F15" s="46" t="s">
        <v>31</v>
      </c>
      <c r="G15" s="11"/>
    </row>
    <row r="16" spans="1:7" ht="15" customHeight="1" x14ac:dyDescent="0.25">
      <c r="A16" s="11"/>
      <c r="B16" s="115" t="s">
        <v>159</v>
      </c>
      <c r="C16" s="33">
        <v>0</v>
      </c>
      <c r="D16" s="46" t="s">
        <v>31</v>
      </c>
      <c r="E16" s="33">
        <v>2901964</v>
      </c>
      <c r="F16" s="46" t="s">
        <v>31</v>
      </c>
      <c r="G16" s="11"/>
    </row>
    <row r="17" spans="1:7" ht="15" customHeight="1" x14ac:dyDescent="0.25">
      <c r="A17" s="11"/>
      <c r="B17" s="115" t="s">
        <v>160</v>
      </c>
      <c r="C17" s="33">
        <v>827526</v>
      </c>
      <c r="D17" s="46" t="s">
        <v>31</v>
      </c>
      <c r="E17" s="33">
        <v>156479</v>
      </c>
      <c r="F17" s="46" t="s">
        <v>31</v>
      </c>
      <c r="G17" s="11"/>
    </row>
    <row r="18" spans="1:7" ht="15" customHeight="1" x14ac:dyDescent="0.25">
      <c r="A18" s="11"/>
      <c r="B18" s="25" t="s">
        <v>104</v>
      </c>
      <c r="C18" s="97">
        <f>SUM(C10:C17)</f>
        <v>1805560</v>
      </c>
      <c r="D18" s="98" t="s">
        <v>31</v>
      </c>
      <c r="E18" s="97">
        <f>SUM(E10:E17)</f>
        <v>3222235</v>
      </c>
      <c r="F18" s="98" t="s">
        <v>31</v>
      </c>
      <c r="G18" s="11"/>
    </row>
    <row r="19" spans="1:7" ht="15" customHeight="1" x14ac:dyDescent="0.25">
      <c r="A19" s="11"/>
      <c r="B19" s="115" t="s">
        <v>35</v>
      </c>
      <c r="C19" s="33">
        <f>-C18*'8. Nøgletal'!C23</f>
        <v>-36111.200000000004</v>
      </c>
      <c r="D19" s="46" t="s">
        <v>31</v>
      </c>
      <c r="E19" s="33">
        <f>-E18*'8. Nøgletal'!C23</f>
        <v>-64444.700000000004</v>
      </c>
      <c r="F19" s="46" t="s">
        <v>31</v>
      </c>
      <c r="G19" s="11"/>
    </row>
    <row r="20" spans="1:7" ht="15" customHeight="1" x14ac:dyDescent="0.25">
      <c r="A20" s="11"/>
      <c r="B20" s="115" t="s">
        <v>36</v>
      </c>
      <c r="C20" s="33">
        <f>-C18*'8. Nøgletal'!C19</f>
        <v>-36111.200000000004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5" t="s">
        <v>37</v>
      </c>
      <c r="C21" s="33">
        <f>SUM(C18:C20)*'8. Nøgletal'!C9</f>
        <v>114920.28288</v>
      </c>
      <c r="D21" s="46" t="s">
        <v>31</v>
      </c>
      <c r="E21" s="33">
        <f>SUM(E18:E20)*'8. Nøgletal'!C9</f>
        <v>209361.49688999998</v>
      </c>
      <c r="F21" s="46" t="s">
        <v>31</v>
      </c>
      <c r="G21" s="11"/>
    </row>
    <row r="22" spans="1:7" ht="26.25" customHeight="1" x14ac:dyDescent="0.25">
      <c r="A22" s="11"/>
      <c r="B22" s="105" t="s">
        <v>105</v>
      </c>
      <c r="C22" s="97">
        <f>SUM(C18:C21)</f>
        <v>1848257.8828800002</v>
      </c>
      <c r="D22" s="98" t="s">
        <v>31</v>
      </c>
      <c r="E22" s="97">
        <f>SUM(E18:E21)</f>
        <v>3367151.7968899999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PepBLle/scGqACwRp5P9itompIUoDWCtliEqSZ+Z0mvorqAZLawJ6R1DfE23BLKahiFte0JMX+w+oHKB1hFGJQ==" saltValue="Su3DH+Yn1IQEY1p4qiwCgg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54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12" t="s">
        <v>51</v>
      </c>
      <c r="C9" s="35" t="s">
        <v>52</v>
      </c>
      <c r="D9" s="113"/>
      <c r="E9" s="35" t="s">
        <v>53</v>
      </c>
      <c r="F9" s="114"/>
      <c r="G9" s="11"/>
    </row>
    <row r="10" spans="1:7" ht="15" customHeight="1" x14ac:dyDescent="0.25">
      <c r="A10" s="11"/>
      <c r="B10" s="115" t="s">
        <v>161</v>
      </c>
      <c r="C10" s="33">
        <v>29934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5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106</v>
      </c>
      <c r="C13" s="97">
        <f>SUM(C10:C12)</f>
        <v>29934</v>
      </c>
      <c r="D13" s="98" t="s">
        <v>31</v>
      </c>
      <c r="E13" s="97">
        <f>SUM(E10:E12)</f>
        <v>0</v>
      </c>
      <c r="F13" s="98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6"/>
      <c r="C15" s="116"/>
      <c r="D15" s="116"/>
      <c r="E15" s="116"/>
      <c r="F15" s="116"/>
      <c r="G15" s="11"/>
    </row>
  </sheetData>
  <sheetProtection algorithmName="SHA-512" hashValue="pI3OxUei4YkVSCKQ40NHnKApe2IqclPDtk6iATDP+SDoKcPkp1tlKSJbz1eeXVGv5IVBKyVYdq422SCOJwEKig==" saltValue="MFMt/AHgipffC+UT1d5xY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107</v>
      </c>
      <c r="C8" s="81"/>
      <c r="D8" s="82"/>
      <c r="E8" s="11"/>
    </row>
    <row r="9" spans="1:5" ht="15" customHeight="1" x14ac:dyDescent="0.25">
      <c r="A9" s="11"/>
      <c r="B9" s="117" t="s">
        <v>108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109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8Wu33x0TdeAxyHrP1LcOg/sF6fiE//g4HWI9Uici0Noiy+SUS2RZteoXfduK59t7yp5gPV1xfSY3s4Am6OBcRA==" saltValue="XnNjsOvlphWgBZN51z7d/g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110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56</v>
      </c>
      <c r="C8" s="81"/>
      <c r="D8" s="82"/>
      <c r="E8" s="11"/>
    </row>
    <row r="9" spans="1:5" ht="26.25" x14ac:dyDescent="0.25">
      <c r="A9" s="11"/>
      <c r="B9" s="102" t="s">
        <v>111</v>
      </c>
      <c r="C9" s="120"/>
      <c r="D9" s="102" t="s">
        <v>31</v>
      </c>
      <c r="E9" s="11"/>
    </row>
    <row r="10" spans="1:5" ht="14.25" customHeight="1" x14ac:dyDescent="0.25">
      <c r="A10" s="11"/>
      <c r="B10" s="44" t="s">
        <v>112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57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58</v>
      </c>
      <c r="C12" s="81"/>
      <c r="D12" s="82"/>
      <c r="E12" s="11"/>
    </row>
    <row r="13" spans="1:5" ht="26.25" customHeight="1" x14ac:dyDescent="0.25">
      <c r="A13" s="11"/>
      <c r="B13" s="102" t="s">
        <v>141</v>
      </c>
      <c r="C13" s="120"/>
      <c r="D13" s="102" t="s">
        <v>31</v>
      </c>
      <c r="E13" s="11"/>
    </row>
    <row r="14" spans="1:5" ht="14.25" customHeight="1" x14ac:dyDescent="0.25">
      <c r="A14" s="11"/>
      <c r="B14" s="44" t="s">
        <v>113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57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59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s3ABZ0so4tZBI67F0CrGC4GPuno2L2NpkXVXwT1ExOsI5+Yv/zSZ5ujG3di35BHdVsX1bdxw/uw5iq59Ht+7YA==" saltValue="5x3o2QdOATbQnRQIzkXBeg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60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61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62</v>
      </c>
      <c r="C9" s="122" t="s">
        <v>64</v>
      </c>
      <c r="D9" s="123"/>
      <c r="E9" s="122" t="s">
        <v>63</v>
      </c>
      <c r="F9" s="123"/>
      <c r="G9" s="122" t="s">
        <v>65</v>
      </c>
      <c r="H9" s="123"/>
      <c r="I9" s="11"/>
    </row>
    <row r="10" spans="1:9" ht="15" customHeight="1" x14ac:dyDescent="0.25">
      <c r="A10" s="11"/>
      <c r="B10" s="117" t="s">
        <v>66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68</v>
      </c>
      <c r="C11" s="97">
        <f>SUM(C10:C10)</f>
        <v>0</v>
      </c>
      <c r="D11" s="97" t="s">
        <v>67</v>
      </c>
      <c r="E11" s="97">
        <f>SUM(E10:E10)</f>
        <v>0</v>
      </c>
      <c r="F11" s="97" t="s">
        <v>67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114</v>
      </c>
      <c r="C12" s="97">
        <f>C11*(1+'8. Nøgletal'!C9)</f>
        <v>0</v>
      </c>
      <c r="D12" s="97" t="s">
        <v>67</v>
      </c>
      <c r="E12" s="97">
        <f>E11*(1+'8. Nøgletal'!C9)</f>
        <v>0</v>
      </c>
      <c r="F12" s="97" t="s">
        <v>67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XrHrBsunqGkZSX5h9Q2mci8Y8OnXjCkEVz4YdE5n9uoFvAbSinHhvTDpDvPSVi0+DRtOEEmkygBPTLLQqwk0AA==" saltValue="2oFVR8rZfytpguRxZ/do/A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69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115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70</v>
      </c>
      <c r="C9" s="125" t="s">
        <v>52</v>
      </c>
      <c r="D9" s="126"/>
      <c r="E9" s="125" t="s">
        <v>53</v>
      </c>
      <c r="F9" s="126"/>
      <c r="G9" s="11"/>
    </row>
    <row r="10" spans="1:7" ht="15" customHeight="1" x14ac:dyDescent="0.25">
      <c r="A10" s="11"/>
      <c r="B10" s="127" t="s">
        <v>71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72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116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oGCFEKrxZ28k7c+IUyJ3Nnu4w42IT9axL9nLytkJaaIHBKpkaYTY7GXABJ8kwKpVkxYfXOMpIbWBZOHHM2l1TQ==" saltValue="0xDbd9rKX7l6U80MdeLFuA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73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74</v>
      </c>
      <c r="C9" s="128" t="s">
        <v>52</v>
      </c>
      <c r="D9" s="114"/>
      <c r="E9" s="128" t="s">
        <v>53</v>
      </c>
      <c r="F9" s="114"/>
      <c r="G9" s="11"/>
    </row>
    <row r="10" spans="1:7" ht="26.25" customHeight="1" x14ac:dyDescent="0.25">
      <c r="A10" s="11"/>
      <c r="B10" s="129" t="s">
        <v>132</v>
      </c>
      <c r="C10" s="103"/>
      <c r="D10" s="104" t="s">
        <v>31</v>
      </c>
      <c r="E10" s="103"/>
      <c r="F10" s="104" t="s">
        <v>31</v>
      </c>
      <c r="G10" s="11"/>
    </row>
    <row r="11" spans="1:7" ht="26.25" customHeight="1" x14ac:dyDescent="0.25">
      <c r="A11" s="11"/>
      <c r="B11" s="130" t="s">
        <v>133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117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EQtBlhG77ZHoKC6KTBPXc/By7sHFvh/heHxpHsReQQU8ASWR5dBIMZK4HJQzMtt0ZOwJTWsXsvDjiGZ2eVc0bg==" saltValue="iMNxUizxekOalfu5v9URC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75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76</v>
      </c>
      <c r="C9" s="4">
        <v>6.6299999999999998E-2</v>
      </c>
      <c r="D9" s="22"/>
    </row>
    <row r="10" spans="1:4" ht="15" customHeight="1" x14ac:dyDescent="0.25">
      <c r="A10" s="11"/>
      <c r="B10" s="133" t="s">
        <v>118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77</v>
      </c>
      <c r="C13" s="27"/>
      <c r="D13" s="11"/>
    </row>
    <row r="14" spans="1:4" ht="15" customHeight="1" x14ac:dyDescent="0.25">
      <c r="A14" s="11"/>
      <c r="B14" s="133" t="s">
        <v>78</v>
      </c>
      <c r="C14" s="5">
        <v>0</v>
      </c>
      <c r="D14" s="22"/>
    </row>
    <row r="15" spans="1:4" ht="15" customHeight="1" x14ac:dyDescent="0.25">
      <c r="A15" s="11"/>
      <c r="B15" s="133" t="s">
        <v>119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79</v>
      </c>
      <c r="C18" s="27"/>
      <c r="D18" s="11"/>
    </row>
    <row r="19" spans="1:4" ht="15" customHeight="1" x14ac:dyDescent="0.25">
      <c r="A19" s="11"/>
      <c r="B19" s="101" t="s">
        <v>80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81</v>
      </c>
      <c r="C23" s="8">
        <v>0.02</v>
      </c>
      <c r="D23" s="22"/>
    </row>
    <row r="24" spans="1:4" ht="15" customHeight="1" x14ac:dyDescent="0.25">
      <c r="A24" s="11"/>
      <c r="B24" s="44" t="s">
        <v>120</v>
      </c>
      <c r="C24" s="8">
        <v>0.02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4bwXPYsxDmgrrF2m095hcRxSaXNtfP5+D7JMBoWh1Yh5rg1lih0rJy9CHU0ao52/7MZrlgNiPcmbMvPiGWYaVQ==" saltValue="ojD8oKhS1Ax8OlPCkoltiw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2026-10-01T11:28:21Z</dcterms:modified>
</cp:coreProperties>
</file>