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irkerød Vandforsyning Amba (V021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30" i="32" l="1"/>
  <c r="E12" i="32" l="1"/>
  <c r="E35" i="32" l="1"/>
  <c r="E26" i="32" l="1"/>
  <c r="E37" i="32" s="1"/>
  <c r="C23" i="23" l="1"/>
  <c r="C23" i="22"/>
  <c r="C23" i="15"/>
  <c r="C30" i="2"/>
  <c r="C15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9" i="36" s="1"/>
  <c r="C32" i="21"/>
  <c r="C33" i="21" s="1"/>
  <c r="G55" i="30" s="1"/>
  <c r="E25" i="21"/>
  <c r="E26" i="21" s="1"/>
  <c r="G53" i="36" s="1"/>
  <c r="C25" i="21"/>
  <c r="C26" i="21" s="1"/>
  <c r="G49" i="30" s="1"/>
  <c r="E18" i="21"/>
  <c r="E19" i="21" s="1"/>
  <c r="G43" i="36" s="1"/>
  <c r="C18" i="21"/>
  <c r="C19" i="21" s="1"/>
  <c r="G43" i="30" s="1"/>
  <c r="C10" i="15" l="1"/>
  <c r="C9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0" i="15" s="1"/>
  <c r="C19" i="23"/>
  <c r="C19" i="22"/>
  <c r="C19" i="15"/>
  <c r="C26" i="2"/>
  <c r="C21" i="22" l="1"/>
  <c r="C21" i="23"/>
  <c r="C21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1" i="37" s="1"/>
  <c r="C12" i="37" s="1"/>
  <c r="C12" i="2" s="1"/>
  <c r="E11" i="21"/>
  <c r="E12" i="21" s="1"/>
  <c r="C11" i="21"/>
  <c r="C12" i="21" s="1"/>
  <c r="E11" i="29"/>
  <c r="E12" i="29" s="1"/>
  <c r="C16" i="19" l="1"/>
  <c r="C16" i="2"/>
  <c r="C17" i="2"/>
  <c r="C15" i="2"/>
  <c r="C14" i="2"/>
  <c r="C24" i="2" l="1"/>
  <c r="C17" i="22"/>
  <c r="C17" i="23"/>
  <c r="C17" i="15"/>
  <c r="G37" i="30"/>
  <c r="G38" i="30" s="1"/>
  <c r="E11" i="11"/>
  <c r="E10" i="37" l="1"/>
  <c r="E11" i="37" s="1"/>
  <c r="E12" i="37" s="1"/>
  <c r="C13" i="2" s="1"/>
  <c r="G37" i="36" s="1"/>
  <c r="G38" i="36" l="1"/>
  <c r="G42" i="36" s="1"/>
  <c r="G44" i="36" s="1"/>
  <c r="C20" i="2"/>
  <c r="G42" i="30" l="1"/>
  <c r="G44" i="30" s="1"/>
  <c r="C13" i="15" s="1"/>
  <c r="E20" i="27"/>
  <c r="E31" i="27" s="1"/>
  <c r="C9" i="2" l="1"/>
  <c r="C18" i="2" s="1"/>
  <c r="C19" i="2" s="1"/>
  <c r="G48" i="30"/>
  <c r="G50" i="30" s="1"/>
  <c r="C21" i="2"/>
  <c r="C14" i="15"/>
  <c r="C22" i="2" l="1"/>
  <c r="G54" i="30"/>
  <c r="G56" i="30" s="1"/>
  <c r="C13" i="23" s="1"/>
  <c r="C13" i="22"/>
  <c r="G52" i="36"/>
  <c r="G54" i="36" s="1"/>
  <c r="C14" i="22" s="1"/>
  <c r="G58" i="36" l="1"/>
  <c r="G60" i="36" s="1"/>
  <c r="C14" i="23" s="1"/>
  <c r="C8" i="15"/>
  <c r="C11" i="15" l="1"/>
  <c r="C12" i="15" s="1"/>
  <c r="C15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6" i="15" l="1"/>
</calcChain>
</file>

<file path=xl/sharedStrings.xml><?xml version="1.0" encoding="utf-8"?>
<sst xmlns="http://schemas.openxmlformats.org/spreadsheetml/2006/main" count="619" uniqueCount="254">
  <si>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</si>
  <si>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</si>
  <si>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</si>
  <si>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</si>
  <si>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</si>
  <si>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</si>
  <si>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</si>
  <si>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</si>
  <si>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</si>
  <si>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</si>
  <si>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</si>
  <si>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</si>
  <si>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</si>
  <si>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</si>
  <si>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</si>
  <si>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</si>
  <si>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</si>
  <si>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</si>
  <si>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</si>
  <si>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</si>
  <si>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</si>
  <si>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</si>
  <si>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</si>
  <si>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</si>
  <si>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</si>
  <si>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</si>
  <si>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</si>
  <si>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</si>
  <si>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</si>
  <si>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</si>
  <si>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</si>
  <si>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</si>
  <si>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</si>
  <si>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</si>
  <si>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</si>
  <si>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</si>
  <si>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</si>
  <si>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</si>
  <si>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</si>
  <si>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</si>
  <si>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</si>
  <si>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</si>
  <si>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</si>
  <si>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</si>
  <si>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</si>
  <si>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</si>
  <si>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</si>
  <si>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</si>
  <si>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</si>
  <si>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</si>
  <si>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</si>
  <si>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</si>
  <si>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</si>
  <si>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</si>
  <si>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</si>
  <si>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</si>
  <si>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</si>
  <si>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</si>
  <si>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</si>
  <si>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</si>
  <si>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</si>
  <si>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</si>
  <si>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</si>
  <si>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</si>
  <si>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</si>
  <si>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</si>
  <si>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</si>
  <si>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</si>
  <si>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</si>
  <si>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</si>
  <si>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</si>
  <si>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</si>
  <si>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</si>
  <si>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</si>
  <si>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</si>
  <si>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</si>
  <si>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</si>
  <si>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</si>
  <si>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</si>
  <si>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</si>
  <si>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</si>
  <si>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</si>
  <si>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</si>
  <si>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</si>
  <si>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</si>
  <si>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</si>
  <si>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</si>
  <si>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</si>
  <si>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</si>
  <si>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</si>
  <si>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</si>
  <si>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</si>
  <si>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</si>
  <si>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</si>
  <si>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</si>
  <si>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</si>
  <si>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</si>
  <si>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</si>
  <si>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</si>
  <si>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</si>
  <si>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</si>
  <si>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</si>
  <si>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</si>
  <si>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</si>
  <si>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</si>
  <si>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</si>
  <si>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</si>
  <si>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</si>
  <si>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</si>
  <si>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</si>
  <si>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</si>
  <si>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</si>
  <si>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</si>
  <si>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</si>
  <si>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</si>
  <si>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</si>
  <si>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</si>
  <si>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</si>
  <si>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</si>
  <si>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</si>
  <si>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</si>
  <si>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</si>
  <si>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</si>
  <si>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</si>
  <si>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</si>
  <si>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</si>
  <si>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</si>
  <si>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</si>
  <si>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</si>
  <si>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</si>
  <si>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</si>
  <si>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</si>
  <si>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</si>
  <si>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</si>
  <si>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</si>
  <si>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</si>
  <si>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</si>
  <si>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</si>
  <si>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</si>
  <si>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</si>
  <si>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</si>
  <si>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</si>
  <si>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</si>
  <si>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</si>
  <si>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</si>
  <si>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</si>
  <si>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</si>
  <si>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</si>
  <si>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</si>
  <si>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</si>
  <si>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</si>
  <si>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</si>
  <si>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</si>
  <si>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</si>
  <si>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</si>
  <si>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</si>
  <si>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</si>
  <si>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</si>
  <si>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</si>
  <si>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</si>
  <si>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</si>
  <si>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</si>
  <si>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</si>
  <si>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</si>
  <si>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</si>
  <si>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</si>
  <si>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</si>
  <si>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</si>
  <si>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</si>
  <si>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</si>
  <si>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</si>
  <si>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</si>
  <si>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</si>
  <si>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</si>
  <si>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</si>
  <si>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</si>
  <si>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</si>
  <si>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</si>
  <si>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</si>
  <si>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</si>
  <si>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</si>
  <si>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</si>
  <si>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</si>
  <si>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</si>
  <si>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</si>
  <si>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</si>
  <si>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</si>
  <si>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</si>
  <si>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</si>
  <si>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</si>
  <si>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</si>
  <si>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</si>
  <si>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</si>
  <si>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</si>
  <si>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</si>
  <si>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</si>
  <si>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</si>
  <si>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</si>
  <si>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</si>
  <si>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</si>
  <si>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</si>
  <si>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</si>
  <si>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</si>
  <si>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</si>
  <si>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</si>
  <si>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</si>
  <si>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</si>
  <si>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</si>
  <si>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</si>
  <si>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</si>
  <si>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</si>
  <si>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</si>
  <si>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</si>
  <si>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</si>
  <si>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</si>
  <si>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</si>
  <si>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</si>
  <si>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</si>
  <si>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</si>
  <si>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</si>
  <si>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</si>
  <si>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</si>
  <si>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</si>
  <si>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</si>
  <si>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</si>
  <si>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</si>
  <si>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</si>
  <si>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</si>
  <si>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</si>
  <si>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</si>
  <si>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</si>
  <si>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Erstatninger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</si>
  <si>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</si>
  <si>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</si>
  <si>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</si>
  <si>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</si>
  <si>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</si>
  <si>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</si>
  <si>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</si>
  <si>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</si>
  <si>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</si>
  <si>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</si>
  <si>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</si>
  <si>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</si>
  <si>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</si>
  <si>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</si>
  <si>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</si>
  <si>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</si>
  <si>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</si>
  <si>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</si>
  <si>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</si>
  <si>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</si>
  <si>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Ingen engangstillæg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</si>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</sst>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3" fontId="0" fillId="0" borderId="0" xfId="0" applyNumberFormat="1" applyProtection="1"/>
    <xf numFmtId="165" fontId="0" fillId="0" borderId="0" xfId="0" applyNumberForma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6" t="s">
        <v>4</v>
      </c>
      <c r="E6" s="76"/>
      <c r="F6" s="76"/>
      <c r="G6" s="76"/>
      <c r="H6" s="3"/>
      <c r="I6" s="1"/>
    </row>
    <row r="7" spans="1:9" ht="15" customHeight="1" x14ac:dyDescent="0.45">
      <c r="A7" s="1"/>
      <c r="B7" s="1"/>
      <c r="C7" s="3"/>
      <c r="D7" s="76"/>
      <c r="E7" s="76"/>
      <c r="F7" s="76"/>
      <c r="G7" s="76"/>
      <c r="H7" s="3"/>
      <c r="I7" s="1"/>
    </row>
    <row r="8" spans="1:9" ht="15.75" x14ac:dyDescent="0.5">
      <c r="A8" s="1"/>
      <c r="B8" s="1"/>
      <c r="C8" s="4"/>
      <c r="D8" s="81" t="s">
        <v>253</v>
      </c>
      <c r="E8" s="81"/>
      <c r="F8" s="81"/>
      <c r="G8" s="8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80" t="s">
        <v>5</v>
      </c>
      <c r="E11" s="80"/>
      <c r="F11" s="80"/>
      <c r="G11" s="8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73" t="s">
        <v>163</v>
      </c>
      <c r="E13" s="74"/>
      <c r="F13" s="74"/>
      <c r="G13" s="75"/>
      <c r="H13" s="1"/>
      <c r="I13" s="1"/>
    </row>
    <row r="14" spans="1:9" x14ac:dyDescent="0.45">
      <c r="A14" s="1"/>
      <c r="B14" s="1"/>
      <c r="C14" s="6" t="s">
        <v>15</v>
      </c>
      <c r="D14" s="73" t="s">
        <v>83</v>
      </c>
      <c r="E14" s="74"/>
      <c r="F14" s="74"/>
      <c r="G14" s="75"/>
      <c r="H14" s="1"/>
      <c r="I14" s="1"/>
    </row>
    <row r="15" spans="1:9" x14ac:dyDescent="0.45">
      <c r="A15" s="1"/>
      <c r="B15" s="1"/>
      <c r="C15" s="6" t="s">
        <v>35</v>
      </c>
      <c r="D15" s="73" t="s">
        <v>128</v>
      </c>
      <c r="E15" s="74"/>
      <c r="F15" s="74"/>
      <c r="G15" s="75"/>
      <c r="H15" s="1"/>
      <c r="I15" s="1"/>
    </row>
    <row r="16" spans="1:9" x14ac:dyDescent="0.45">
      <c r="A16" s="1"/>
      <c r="B16" s="1"/>
      <c r="C16" s="6" t="s">
        <v>36</v>
      </c>
      <c r="D16" s="73" t="s">
        <v>180</v>
      </c>
      <c r="E16" s="74"/>
      <c r="F16" s="74"/>
      <c r="G16" s="75"/>
      <c r="H16" s="1"/>
      <c r="I16" s="1"/>
    </row>
    <row r="17" spans="1:9" x14ac:dyDescent="0.45">
      <c r="A17" s="1"/>
      <c r="B17" s="1"/>
      <c r="C17" s="6" t="s">
        <v>127</v>
      </c>
      <c r="D17" s="73" t="s">
        <v>181</v>
      </c>
      <c r="E17" s="74"/>
      <c r="F17" s="74"/>
      <c r="G17" s="75"/>
      <c r="H17" s="1"/>
      <c r="I17" s="1"/>
    </row>
    <row r="18" spans="1:9" x14ac:dyDescent="0.45">
      <c r="A18" s="1"/>
      <c r="B18" s="1"/>
      <c r="C18" s="32" t="s">
        <v>111</v>
      </c>
      <c r="D18" s="82" t="s">
        <v>100</v>
      </c>
      <c r="E18" s="83"/>
      <c r="F18" s="83"/>
      <c r="G18" s="84"/>
      <c r="H18" s="1"/>
      <c r="I18" s="1"/>
    </row>
    <row r="19" spans="1:9" x14ac:dyDescent="0.45">
      <c r="A19" s="1"/>
      <c r="B19" s="1"/>
      <c r="C19" s="32" t="s">
        <v>112</v>
      </c>
      <c r="D19" s="82" t="s">
        <v>101</v>
      </c>
      <c r="E19" s="83"/>
      <c r="F19" s="83"/>
      <c r="G19" s="84"/>
      <c r="H19" s="1"/>
      <c r="I19" s="1"/>
    </row>
    <row r="20" spans="1:9" x14ac:dyDescent="0.45">
      <c r="A20" s="1"/>
      <c r="B20" s="1"/>
      <c r="C20" s="32" t="s">
        <v>7</v>
      </c>
      <c r="D20" s="82" t="s">
        <v>9</v>
      </c>
      <c r="E20" s="83"/>
      <c r="F20" s="83"/>
      <c r="G20" s="84"/>
      <c r="H20" s="1"/>
      <c r="I20" s="1"/>
    </row>
    <row r="21" spans="1:9" x14ac:dyDescent="0.45">
      <c r="A21" s="1"/>
      <c r="B21" s="1"/>
      <c r="C21" s="6" t="s">
        <v>113</v>
      </c>
      <c r="D21" s="88" t="s">
        <v>12</v>
      </c>
      <c r="E21" s="89"/>
      <c r="F21" s="89"/>
      <c r="G21" s="90"/>
      <c r="H21" s="1"/>
      <c r="I21" s="1"/>
    </row>
    <row r="22" spans="1:9" x14ac:dyDescent="0.45">
      <c r="A22" s="1"/>
      <c r="B22" s="1"/>
      <c r="C22" s="6" t="s">
        <v>87</v>
      </c>
      <c r="D22" s="77" t="s">
        <v>182</v>
      </c>
      <c r="E22" s="78"/>
      <c r="F22" s="78"/>
      <c r="G22" s="79"/>
      <c r="H22" s="1"/>
      <c r="I22" s="1"/>
    </row>
    <row r="23" spans="1:9" x14ac:dyDescent="0.45">
      <c r="A23" s="1"/>
      <c r="B23" s="1"/>
      <c r="C23" s="6" t="s">
        <v>8</v>
      </c>
      <c r="D23" s="77" t="s">
        <v>37</v>
      </c>
      <c r="E23" s="78"/>
      <c r="F23" s="78"/>
      <c r="G23" s="79"/>
      <c r="H23" s="1"/>
      <c r="I23" s="1"/>
    </row>
    <row r="24" spans="1:9" x14ac:dyDescent="0.45">
      <c r="A24" s="1"/>
      <c r="B24" s="1"/>
      <c r="C24" s="6" t="s">
        <v>170</v>
      </c>
      <c r="D24" s="77" t="s">
        <v>88</v>
      </c>
      <c r="E24" s="78"/>
      <c r="F24" s="78"/>
      <c r="G24" s="79"/>
      <c r="H24" s="1"/>
      <c r="I24" s="1"/>
    </row>
    <row r="25" spans="1:9" x14ac:dyDescent="0.45">
      <c r="A25" s="1"/>
      <c r="B25" s="1"/>
      <c r="C25" s="6" t="s">
        <v>171</v>
      </c>
      <c r="D25" s="77" t="s">
        <v>89</v>
      </c>
      <c r="E25" s="78"/>
      <c r="F25" s="78"/>
      <c r="G25" s="79"/>
      <c r="H25" s="1"/>
      <c r="I25" s="1"/>
    </row>
    <row r="26" spans="1:9" x14ac:dyDescent="0.45">
      <c r="A26" s="1"/>
      <c r="B26" s="1"/>
      <c r="C26" s="6" t="s">
        <v>172</v>
      </c>
      <c r="D26" s="77" t="s">
        <v>129</v>
      </c>
      <c r="E26" s="78"/>
      <c r="F26" s="78"/>
      <c r="G26" s="79"/>
      <c r="H26" s="1"/>
      <c r="I26" s="1"/>
    </row>
    <row r="27" spans="1:9" x14ac:dyDescent="0.45">
      <c r="A27" s="1"/>
      <c r="B27" s="1"/>
      <c r="C27" s="6" t="s">
        <v>114</v>
      </c>
      <c r="D27" s="77" t="s">
        <v>38</v>
      </c>
      <c r="E27" s="78"/>
      <c r="F27" s="78"/>
      <c r="G27" s="79"/>
      <c r="H27" s="1"/>
      <c r="I27" s="1"/>
    </row>
    <row r="28" spans="1:9" x14ac:dyDescent="0.45">
      <c r="A28" s="1"/>
      <c r="B28" s="1"/>
      <c r="C28" s="6" t="s">
        <v>108</v>
      </c>
      <c r="D28" s="85" t="s">
        <v>109</v>
      </c>
      <c r="E28" s="86"/>
      <c r="F28" s="86"/>
      <c r="G28" s="87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PTVj8pCB91ubsOBQ2TFR5etvtNsbd+4oBHDCALFdcqnC8yfDTjinN/4oUByG1JigIFrztB1eArUWH7iufkjCQ==" saltValue="Hfj7acT2PWmP7RbxY/PKIQ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91" t="s">
        <v>117</v>
      </c>
      <c r="C3" s="91"/>
      <c r="D3" s="91"/>
      <c r="E3" s="1"/>
      <c r="F3" s="1"/>
    </row>
    <row r="4" spans="1:6" ht="15" customHeight="1" x14ac:dyDescent="0.45">
      <c r="A4" s="1"/>
      <c r="B4" s="91"/>
      <c r="C4" s="91"/>
      <c r="D4" s="91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17" t="s">
        <v>202</v>
      </c>
      <c r="C8" s="118"/>
      <c r="D8" s="119"/>
      <c r="E8" s="1"/>
      <c r="F8" s="1"/>
    </row>
    <row r="9" spans="1:6" ht="15" customHeight="1" x14ac:dyDescent="0.45">
      <c r="A9" s="1"/>
      <c r="B9" s="54" t="s">
        <v>33</v>
      </c>
      <c r="C9" s="11" t="s">
        <v>203</v>
      </c>
      <c r="D9" s="11"/>
      <c r="E9" s="1"/>
      <c r="F9" s="1"/>
    </row>
    <row r="10" spans="1:6" ht="15" customHeight="1" x14ac:dyDescent="0.45">
      <c r="A10" s="1"/>
      <c r="B10" s="65" t="s">
        <v>227</v>
      </c>
      <c r="C10" s="9">
        <v>6774068</v>
      </c>
      <c r="D10" s="14" t="s">
        <v>3</v>
      </c>
      <c r="E10" s="1"/>
      <c r="F10" s="1"/>
    </row>
    <row r="11" spans="1:6" ht="15" customHeight="1" x14ac:dyDescent="0.45">
      <c r="A11" s="1"/>
      <c r="B11" s="65" t="s">
        <v>228</v>
      </c>
      <c r="C11" s="9">
        <v>59410</v>
      </c>
      <c r="D11" s="14" t="s">
        <v>3</v>
      </c>
      <c r="E11" s="1"/>
      <c r="F11" s="1"/>
    </row>
    <row r="12" spans="1:6" x14ac:dyDescent="0.45">
      <c r="A12" s="1"/>
      <c r="B12" s="65" t="s">
        <v>229</v>
      </c>
      <c r="C12" s="9">
        <v>56702.84</v>
      </c>
      <c r="D12" s="14" t="s">
        <v>3</v>
      </c>
      <c r="E12" s="1"/>
      <c r="F12" s="1"/>
    </row>
    <row r="13" spans="1:6" x14ac:dyDescent="0.45">
      <c r="A13" s="1"/>
      <c r="B13" s="65" t="s">
        <v>230</v>
      </c>
      <c r="C13" s="9">
        <v>40330</v>
      </c>
      <c r="D13" s="14" t="s">
        <v>3</v>
      </c>
      <c r="E13" s="1"/>
      <c r="F13" s="1"/>
    </row>
    <row r="14" spans="1:6" x14ac:dyDescent="0.45">
      <c r="A14" s="1"/>
      <c r="B14" s="65" t="s">
        <v>231</v>
      </c>
      <c r="C14" s="9">
        <v>10365.25</v>
      </c>
      <c r="D14" s="14" t="s">
        <v>3</v>
      </c>
      <c r="E14" s="1"/>
      <c r="F14" s="1"/>
    </row>
    <row r="15" spans="1:6" x14ac:dyDescent="0.45">
      <c r="A15" s="1"/>
      <c r="B15" s="57" t="s">
        <v>204</v>
      </c>
      <c r="C15" s="12">
        <f>SUM(C10:C14)</f>
        <v>6940876.0899999999</v>
      </c>
      <c r="D15" s="13" t="s">
        <v>3</v>
      </c>
      <c r="E15" s="1"/>
      <c r="F15" s="1"/>
    </row>
    <row r="16" spans="1:6" x14ac:dyDescent="0.45">
      <c r="A16" s="1"/>
      <c r="B16" s="57" t="s">
        <v>205</v>
      </c>
      <c r="C16" s="12">
        <f>C15*(1+'Fane 12. Nøgletal'!C14)^2</f>
        <v>6986761.458334621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07Cg7z7Ig1++xBC/pIMGs6cjqz5N4rL7yGbZnwxp7POu/bd2IgHH9SWMNZtmS5C/ONhBGypxVlwQJ6b7wFk68A==" saltValue="1iq8W3qYBAHYR5jBXteSS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2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8" width="10.59765625" style="2" bestFit="1" customWidth="1"/>
    <col min="9" max="16384" width="9.1328125" style="2"/>
  </cols>
  <sheetData>
    <row r="1" spans="1:8" x14ac:dyDescent="0.45">
      <c r="A1" s="1"/>
      <c r="B1" s="1"/>
      <c r="C1" s="1"/>
      <c r="D1" s="1"/>
      <c r="E1" s="1"/>
      <c r="F1" s="1"/>
      <c r="G1" s="1"/>
    </row>
    <row r="2" spans="1:8" x14ac:dyDescent="0.45">
      <c r="A2" s="1"/>
      <c r="B2" s="1"/>
      <c r="C2" s="1"/>
      <c r="D2" s="1"/>
      <c r="E2" s="1"/>
      <c r="F2" s="1"/>
      <c r="G2" s="1"/>
    </row>
    <row r="3" spans="1:8" ht="29.25" customHeight="1" x14ac:dyDescent="0.45">
      <c r="A3" s="1"/>
      <c r="B3" s="110" t="s">
        <v>220</v>
      </c>
      <c r="C3" s="110"/>
      <c r="D3" s="110"/>
      <c r="E3" s="110"/>
      <c r="F3" s="110"/>
      <c r="G3" s="1"/>
    </row>
    <row r="4" spans="1:8" ht="15" customHeight="1" x14ac:dyDescent="0.45">
      <c r="A4" s="1"/>
      <c r="B4" s="110"/>
      <c r="C4" s="110"/>
      <c r="D4" s="110"/>
      <c r="E4" s="110"/>
      <c r="F4" s="110"/>
      <c r="G4" s="1"/>
    </row>
    <row r="5" spans="1:8" ht="15" customHeight="1" x14ac:dyDescent="0.45">
      <c r="A5" s="1"/>
      <c r="B5" s="52"/>
      <c r="C5" s="52"/>
      <c r="D5" s="52"/>
      <c r="E5" s="52"/>
      <c r="F5" s="52"/>
      <c r="G5" s="1"/>
    </row>
    <row r="6" spans="1:8" ht="15" customHeight="1" x14ac:dyDescent="0.45">
      <c r="A6" s="1"/>
      <c r="B6" s="52"/>
      <c r="C6" s="52"/>
      <c r="D6" s="52"/>
      <c r="E6" s="52"/>
      <c r="F6" s="52"/>
      <c r="G6" s="1"/>
    </row>
    <row r="7" spans="1:8" x14ac:dyDescent="0.45">
      <c r="A7" s="1"/>
      <c r="B7" s="1"/>
      <c r="C7" s="1"/>
      <c r="D7" s="1"/>
      <c r="E7" s="1"/>
      <c r="F7" s="1"/>
      <c r="G7" s="1"/>
    </row>
    <row r="8" spans="1:8" x14ac:dyDescent="0.45">
      <c r="A8" s="1"/>
      <c r="B8" s="117" t="s">
        <v>233</v>
      </c>
      <c r="C8" s="118"/>
      <c r="D8" s="118"/>
      <c r="E8" s="118"/>
      <c r="F8" s="119"/>
      <c r="G8" s="1"/>
    </row>
    <row r="9" spans="1:8" x14ac:dyDescent="0.45">
      <c r="A9" s="1"/>
      <c r="B9" s="114" t="s">
        <v>234</v>
      </c>
      <c r="C9" s="115"/>
      <c r="D9" s="116"/>
      <c r="E9" s="9">
        <v>-408726.69566186517</v>
      </c>
      <c r="F9" s="14" t="s">
        <v>3</v>
      </c>
      <c r="G9" s="1"/>
    </row>
    <row r="10" spans="1:8" x14ac:dyDescent="0.45">
      <c r="A10" s="1"/>
      <c r="B10" s="114" t="s">
        <v>235</v>
      </c>
      <c r="C10" s="115"/>
      <c r="D10" s="116"/>
      <c r="E10" s="9">
        <v>-4939449.5727832615</v>
      </c>
      <c r="F10" s="14" t="s">
        <v>3</v>
      </c>
      <c r="G10" s="1"/>
    </row>
    <row r="11" spans="1:8" x14ac:dyDescent="0.45">
      <c r="A11" s="1"/>
      <c r="B11" s="114" t="s">
        <v>236</v>
      </c>
      <c r="C11" s="115"/>
      <c r="D11" s="116"/>
      <c r="E11" s="9">
        <v>-708093.89699395746</v>
      </c>
      <c r="F11" s="14" t="s">
        <v>3</v>
      </c>
      <c r="G11" s="1"/>
    </row>
    <row r="12" spans="1:8" x14ac:dyDescent="0.45">
      <c r="A12" s="1"/>
      <c r="B12" s="114" t="s">
        <v>237</v>
      </c>
      <c r="C12" s="115"/>
      <c r="D12" s="116"/>
      <c r="E12" s="9">
        <f>IF(OR(AND(E10&gt;0,E11&lt;0),AND(E11&lt;0,E34&gt;0)),E17+E18,E11)</f>
        <v>-708093.89699395746</v>
      </c>
      <c r="F12" s="14" t="s">
        <v>3</v>
      </c>
      <c r="G12" s="1"/>
    </row>
    <row r="13" spans="1:8" x14ac:dyDescent="0.45">
      <c r="A13" s="1"/>
      <c r="B13" s="57"/>
      <c r="C13" s="58"/>
      <c r="D13" s="58"/>
      <c r="E13" s="58"/>
      <c r="F13" s="20"/>
      <c r="G13" s="1"/>
    </row>
    <row r="14" spans="1:8" ht="54.75" customHeight="1" x14ac:dyDescent="0.45">
      <c r="A14" s="1"/>
      <c r="B14" s="93" t="s">
        <v>238</v>
      </c>
      <c r="C14" s="94"/>
      <c r="D14" s="94"/>
      <c r="E14" s="94"/>
      <c r="F14" s="95"/>
      <c r="G14" s="1"/>
      <c r="H14" s="47"/>
    </row>
    <row r="15" spans="1:8" ht="27" customHeight="1" x14ac:dyDescent="0.45">
      <c r="A15" s="1"/>
      <c r="B15" s="1"/>
      <c r="C15" s="1"/>
      <c r="D15" s="1"/>
      <c r="E15" s="1"/>
      <c r="F15" s="1"/>
      <c r="G15" s="1"/>
    </row>
    <row r="16" spans="1:8" x14ac:dyDescent="0.45">
      <c r="A16" s="1"/>
      <c r="B16" s="117" t="s">
        <v>239</v>
      </c>
      <c r="C16" s="118"/>
      <c r="D16" s="118"/>
      <c r="E16" s="118"/>
      <c r="F16" s="119"/>
      <c r="G16" s="1"/>
      <c r="H16" s="48"/>
    </row>
    <row r="17" spans="1:8" x14ac:dyDescent="0.45">
      <c r="A17" s="1"/>
      <c r="B17" s="114" t="s">
        <v>240</v>
      </c>
      <c r="C17" s="115"/>
      <c r="D17" s="116"/>
      <c r="E17" s="9">
        <v>-2823771.7863916308</v>
      </c>
      <c r="F17" s="14" t="s">
        <v>3</v>
      </c>
      <c r="G17" s="1"/>
      <c r="H17" s="48"/>
    </row>
    <row r="18" spans="1:8" x14ac:dyDescent="0.45">
      <c r="A18" s="1"/>
      <c r="B18" s="114" t="s">
        <v>241</v>
      </c>
      <c r="C18" s="115"/>
      <c r="D18" s="116"/>
      <c r="E18" s="9">
        <v>-2823771.7863916308</v>
      </c>
      <c r="F18" s="14" t="s">
        <v>3</v>
      </c>
      <c r="G18" s="1"/>
    </row>
    <row r="19" spans="1:8" x14ac:dyDescent="0.45">
      <c r="A19" s="1"/>
      <c r="B19" s="57"/>
      <c r="C19" s="58"/>
      <c r="D19" s="58"/>
      <c r="E19" s="58"/>
      <c r="F19" s="20"/>
      <c r="G19" s="1"/>
    </row>
    <row r="20" spans="1:8" ht="30" customHeight="1" x14ac:dyDescent="0.45">
      <c r="A20" s="1"/>
      <c r="B20" s="93" t="s">
        <v>242</v>
      </c>
      <c r="C20" s="94"/>
      <c r="D20" s="94"/>
      <c r="E20" s="94"/>
      <c r="F20" s="95"/>
      <c r="G20" s="1"/>
      <c r="H20" s="48"/>
    </row>
    <row r="21" spans="1:8" ht="28.5" customHeight="1" x14ac:dyDescent="0.45">
      <c r="A21" s="1"/>
      <c r="B21" s="1"/>
      <c r="C21" s="1"/>
      <c r="D21" s="1"/>
      <c r="E21" s="1"/>
      <c r="F21" s="1"/>
      <c r="G21" s="1"/>
    </row>
    <row r="22" spans="1:8" x14ac:dyDescent="0.45">
      <c r="A22" s="1"/>
      <c r="B22" s="59" t="s">
        <v>206</v>
      </c>
      <c r="C22" s="60"/>
      <c r="D22" s="60"/>
      <c r="E22" s="60"/>
      <c r="F22" s="61"/>
      <c r="G22" s="1"/>
    </row>
    <row r="23" spans="1:8" x14ac:dyDescent="0.45">
      <c r="A23" s="1"/>
      <c r="B23" s="62" t="s">
        <v>207</v>
      </c>
      <c r="C23" s="63"/>
      <c r="D23" s="64"/>
      <c r="E23" s="9">
        <v>21103886.970615014</v>
      </c>
      <c r="F23" s="14" t="s">
        <v>3</v>
      </c>
      <c r="G23" s="1"/>
    </row>
    <row r="24" spans="1:8" x14ac:dyDescent="0.45">
      <c r="A24" s="1"/>
      <c r="B24" s="62" t="s">
        <v>208</v>
      </c>
      <c r="C24" s="63"/>
      <c r="D24" s="64"/>
      <c r="E24" s="9">
        <v>17822754</v>
      </c>
      <c r="F24" s="14" t="s">
        <v>3</v>
      </c>
      <c r="G24" s="1"/>
    </row>
    <row r="25" spans="1:8" x14ac:dyDescent="0.45">
      <c r="A25" s="1"/>
      <c r="B25" s="62" t="s">
        <v>34</v>
      </c>
      <c r="C25" s="63"/>
      <c r="D25" s="64"/>
      <c r="E25" s="9">
        <v>80000</v>
      </c>
      <c r="F25" s="14" t="s">
        <v>3</v>
      </c>
      <c r="G25" s="1"/>
    </row>
    <row r="26" spans="1:8" x14ac:dyDescent="0.45">
      <c r="A26" s="1"/>
      <c r="B26" s="66" t="s">
        <v>249</v>
      </c>
      <c r="C26" s="67"/>
      <c r="D26" s="68"/>
      <c r="E26" s="45">
        <f>E23-(E24-E25)</f>
        <v>3361132.9706150144</v>
      </c>
      <c r="F26" s="17" t="s">
        <v>3</v>
      </c>
      <c r="G26" s="1"/>
    </row>
    <row r="27" spans="1:8" x14ac:dyDescent="0.45">
      <c r="A27" s="1"/>
      <c r="B27" s="57"/>
      <c r="C27" s="58"/>
      <c r="D27" s="58"/>
      <c r="E27" s="58"/>
      <c r="F27" s="20"/>
      <c r="G27" s="1"/>
    </row>
    <row r="28" spans="1:8" x14ac:dyDescent="0.45">
      <c r="A28" s="1"/>
      <c r="B28" s="1"/>
      <c r="C28" s="1"/>
      <c r="D28" s="1"/>
      <c r="E28" s="1"/>
      <c r="F28" s="1"/>
      <c r="G28" s="1"/>
    </row>
    <row r="29" spans="1:8" x14ac:dyDescent="0.45">
      <c r="A29" s="1"/>
      <c r="B29" s="117" t="s">
        <v>243</v>
      </c>
      <c r="C29" s="118"/>
      <c r="D29" s="118"/>
      <c r="E29" s="118"/>
      <c r="F29" s="119"/>
      <c r="G29" s="1"/>
    </row>
    <row r="30" spans="1:8" x14ac:dyDescent="0.45">
      <c r="A30" s="1"/>
      <c r="B30" s="138" t="s">
        <v>244</v>
      </c>
      <c r="C30" s="139"/>
      <c r="D30" s="140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(E17+ABS(E12))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-2115677.8893976733</v>
      </c>
      <c r="F30" s="17" t="s">
        <v>3</v>
      </c>
      <c r="G30" s="1"/>
    </row>
    <row r="31" spans="1:8" x14ac:dyDescent="0.45">
      <c r="A31" s="1"/>
      <c r="B31" s="117"/>
      <c r="C31" s="118"/>
      <c r="D31" s="118"/>
      <c r="E31" s="118"/>
      <c r="F31" s="119"/>
      <c r="G31" s="1"/>
    </row>
    <row r="32" spans="1:8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17" t="s">
        <v>245</v>
      </c>
      <c r="C33" s="118"/>
      <c r="D33" s="118"/>
      <c r="E33" s="118"/>
      <c r="F33" s="119"/>
      <c r="G33" s="1"/>
    </row>
    <row r="34" spans="1:7" x14ac:dyDescent="0.45">
      <c r="A34" s="1"/>
      <c r="B34" s="132" t="s">
        <v>250</v>
      </c>
      <c r="C34" s="133"/>
      <c r="D34" s="134"/>
      <c r="E34" s="9">
        <v>0</v>
      </c>
      <c r="F34" s="14"/>
      <c r="G34" s="1"/>
    </row>
    <row r="35" spans="1:7" x14ac:dyDescent="0.45">
      <c r="A35" s="1"/>
      <c r="B35" s="132" t="s">
        <v>161</v>
      </c>
      <c r="C35" s="133"/>
      <c r="D35" s="134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45">
      <c r="A36" s="1"/>
      <c r="B36" s="132" t="s">
        <v>110</v>
      </c>
      <c r="C36" s="133"/>
      <c r="D36" s="134"/>
      <c r="E36" s="9">
        <v>4</v>
      </c>
      <c r="F36" s="14" t="s">
        <v>19</v>
      </c>
      <c r="G36" s="1"/>
    </row>
    <row r="37" spans="1:7" x14ac:dyDescent="0.45">
      <c r="A37" s="1"/>
      <c r="B37" s="141" t="s">
        <v>160</v>
      </c>
      <c r="C37" s="141"/>
      <c r="D37" s="141"/>
      <c r="E37" s="10">
        <f>E35/E36</f>
        <v>0</v>
      </c>
      <c r="F37" s="17" t="s">
        <v>3</v>
      </c>
      <c r="G37" s="1"/>
    </row>
    <row r="38" spans="1:7" x14ac:dyDescent="0.45">
      <c r="A38" s="1"/>
      <c r="B38" s="135"/>
      <c r="C38" s="136"/>
      <c r="D38" s="136"/>
      <c r="E38" s="136"/>
      <c r="F38" s="137"/>
      <c r="G38" s="1"/>
    </row>
    <row r="39" spans="1:7" ht="75" customHeight="1" x14ac:dyDescent="0.45">
      <c r="A39" s="1"/>
      <c r="B39" s="93" t="s">
        <v>248</v>
      </c>
      <c r="C39" s="94"/>
      <c r="D39" s="94"/>
      <c r="E39" s="94"/>
      <c r="F39" s="95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Tjrkex1/LNdVJfAQc6toERfDE6ajbH+pe7wsh3wgykKdCB2bHVL0bJgKqWhNwOsOpBsFbj31ywwfYwjxfcf3hw==" saltValue="3VS43vGJHDtXDZEGyL3HRQ==" spinCount="100000" sheet="1" objects="1" scenarios="1"/>
  <mergeCells count="21"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91" t="s">
        <v>169</v>
      </c>
      <c r="C3" s="91"/>
      <c r="D3" s="91"/>
      <c r="E3" s="91"/>
      <c r="F3" s="91"/>
      <c r="G3" s="91"/>
      <c r="H3" s="91"/>
      <c r="I3" s="1"/>
    </row>
    <row r="4" spans="1:9" ht="15" customHeight="1" x14ac:dyDescent="0.4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17" t="s">
        <v>157</v>
      </c>
      <c r="C8" s="118"/>
      <c r="D8" s="118"/>
      <c r="E8" s="118"/>
      <c r="F8" s="118"/>
      <c r="G8" s="118"/>
      <c r="H8" s="119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1"/>
      <c r="I9" s="1"/>
    </row>
    <row r="10" spans="1:9" x14ac:dyDescent="0.45">
      <c r="A10" s="1"/>
      <c r="B10" s="70" t="s">
        <v>251</v>
      </c>
      <c r="C10" s="71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117" t="s">
        <v>158</v>
      </c>
      <c r="C11" s="118"/>
      <c r="D11" s="119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lq4cSb3vi/o3qu6iichTv10FWy597fgK2Pg2dlYDxiWcKaCHsjMueqcUBcKVKRpuOJhBxnXI5TFrYCmYAyONEw==" saltValue="ltLjp/9XBRbQR0VxdHgl6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168</v>
      </c>
      <c r="C3" s="91"/>
      <c r="D3" s="91"/>
      <c r="E3" s="91"/>
      <c r="F3" s="91"/>
      <c r="G3" s="1"/>
    </row>
    <row r="4" spans="1:7" ht="1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7" t="s">
        <v>84</v>
      </c>
      <c r="C8" s="58"/>
      <c r="D8" s="58"/>
      <c r="E8" s="58"/>
      <c r="F8" s="20"/>
      <c r="G8" s="1"/>
    </row>
    <row r="9" spans="1:7" ht="17.25" customHeight="1" x14ac:dyDescent="0.45">
      <c r="A9" s="1"/>
      <c r="B9" s="55" t="s">
        <v>16</v>
      </c>
      <c r="C9" s="55" t="s">
        <v>11</v>
      </c>
      <c r="D9" s="56"/>
      <c r="E9" s="55" t="s">
        <v>32</v>
      </c>
      <c r="F9" s="51"/>
      <c r="G9" s="1"/>
    </row>
    <row r="10" spans="1:7" x14ac:dyDescent="0.4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45">
      <c r="A11" s="1"/>
      <c r="B11" s="57" t="s">
        <v>136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57" t="s">
        <v>209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RO9x06CzOZNBDWNIsy8Kvv0Q1x2QMNEgBGrbY0rHMsLb/Do8cRMBLSjBwob7+eitZGRN/0VMDDxqrCCUvCcd+A==" saltValue="11AG3Fx6iBIJZ8oKXuL7V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167</v>
      </c>
      <c r="C3" s="91"/>
      <c r="D3" s="91"/>
      <c r="E3" s="91"/>
      <c r="F3" s="91"/>
      <c r="G3" s="1"/>
    </row>
    <row r="4" spans="1:7" ht="1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7" t="s">
        <v>102</v>
      </c>
      <c r="C8" s="118"/>
      <c r="D8" s="118"/>
      <c r="E8" s="118"/>
      <c r="F8" s="119"/>
      <c r="G8" s="1"/>
    </row>
    <row r="9" spans="1:7" x14ac:dyDescent="0.45">
      <c r="A9" s="1"/>
      <c r="B9" s="55" t="s">
        <v>16</v>
      </c>
      <c r="C9" s="55" t="s">
        <v>11</v>
      </c>
      <c r="D9" s="56"/>
      <c r="E9" s="55" t="s">
        <v>32</v>
      </c>
      <c r="F9" s="51"/>
      <c r="G9" s="1"/>
    </row>
    <row r="10" spans="1:7" x14ac:dyDescent="0.45">
      <c r="A10" s="1"/>
      <c r="B10" s="25" t="s">
        <v>252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57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45">
      <c r="A14" s="1"/>
      <c r="B14" s="57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17" t="s">
        <v>103</v>
      </c>
      <c r="C16" s="118"/>
      <c r="D16" s="118"/>
      <c r="E16" s="118"/>
      <c r="F16" s="119"/>
      <c r="G16" s="1"/>
    </row>
    <row r="17" spans="1:7" x14ac:dyDescent="0.45">
      <c r="A17" s="1"/>
      <c r="B17" s="55" t="s">
        <v>16</v>
      </c>
      <c r="C17" s="55" t="s">
        <v>11</v>
      </c>
      <c r="D17" s="56"/>
      <c r="E17" s="55" t="s">
        <v>32</v>
      </c>
      <c r="F17" s="51"/>
      <c r="G17" s="1"/>
    </row>
    <row r="18" spans="1:7" x14ac:dyDescent="0.45">
      <c r="A18" s="1"/>
      <c r="B18" s="25" t="s">
        <v>252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57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45">
      <c r="A22" s="1"/>
      <c r="B22" s="57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17" t="s">
        <v>138</v>
      </c>
      <c r="C24" s="118"/>
      <c r="D24" s="118"/>
      <c r="E24" s="118"/>
      <c r="F24" s="119"/>
      <c r="G24" s="1"/>
    </row>
    <row r="25" spans="1:7" x14ac:dyDescent="0.45">
      <c r="A25" s="1"/>
      <c r="B25" s="55" t="s">
        <v>16</v>
      </c>
      <c r="C25" s="55" t="s">
        <v>11</v>
      </c>
      <c r="D25" s="56"/>
      <c r="E25" s="55" t="s">
        <v>32</v>
      </c>
      <c r="F25" s="51"/>
      <c r="G25" s="1"/>
    </row>
    <row r="26" spans="1:7" x14ac:dyDescent="0.45">
      <c r="A26" s="1"/>
      <c r="B26" s="25" t="s">
        <v>252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57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45">
      <c r="A30" s="1"/>
      <c r="B30" s="57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17" t="s">
        <v>211</v>
      </c>
      <c r="C32" s="118"/>
      <c r="D32" s="118"/>
      <c r="E32" s="118"/>
      <c r="F32" s="119"/>
      <c r="G32" s="1"/>
    </row>
    <row r="33" spans="1:7" x14ac:dyDescent="0.45">
      <c r="A33" s="1"/>
      <c r="B33" s="55" t="s">
        <v>16</v>
      </c>
      <c r="C33" s="55" t="s">
        <v>11</v>
      </c>
      <c r="D33" s="56"/>
      <c r="E33" s="55" t="s">
        <v>32</v>
      </c>
      <c r="F33" s="51"/>
      <c r="G33" s="1"/>
    </row>
    <row r="34" spans="1:7" x14ac:dyDescent="0.45">
      <c r="A34" s="1"/>
      <c r="B34" s="25" t="s">
        <v>252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57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45">
      <c r="A38" s="1"/>
      <c r="B38" s="57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Tbkaq9jRVXxl8qVe5hg/w0dzA/kiV/GUmkyIZkuLIuM5WdMwAApxRnr9bskRwCrHujoIavOTPLBfsVg9uhRDng==" saltValue="jgyDwIDGGKjEQuPQZFYhh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10" t="s">
        <v>166</v>
      </c>
      <c r="C3" s="110"/>
      <c r="D3" s="110"/>
      <c r="E3" s="110"/>
      <c r="F3" s="110"/>
      <c r="G3" s="1"/>
    </row>
    <row r="4" spans="1:7" ht="25.5" customHeight="1" x14ac:dyDescent="0.45">
      <c r="A4" s="1"/>
      <c r="B4" s="110"/>
      <c r="C4" s="110"/>
      <c r="D4" s="110"/>
      <c r="E4" s="110"/>
      <c r="F4" s="11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7" t="s">
        <v>130</v>
      </c>
      <c r="C8" s="118"/>
      <c r="D8" s="118"/>
      <c r="E8" s="118"/>
      <c r="F8" s="119"/>
      <c r="G8" s="1"/>
    </row>
    <row r="9" spans="1:7" ht="15" customHeight="1" x14ac:dyDescent="0.45">
      <c r="A9" s="1"/>
      <c r="B9" s="50" t="s">
        <v>131</v>
      </c>
      <c r="C9" s="102" t="s">
        <v>11</v>
      </c>
      <c r="D9" s="104"/>
      <c r="E9" s="102" t="s">
        <v>32</v>
      </c>
      <c r="F9" s="104"/>
      <c r="G9" s="1"/>
    </row>
    <row r="10" spans="1:7" x14ac:dyDescent="0.4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oibXWcFUHSifB4fIV8awJwpOzTqXKUL4dwkG8X19hkGL9R8XiUvOATWvPnX36ICR2Nq6IwtrlKetko9aZL9BYQ==" saltValue="qZJRnQyMzdFPBsWTFyOPB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10" t="s">
        <v>165</v>
      </c>
      <c r="C3" s="110"/>
      <c r="D3" s="110"/>
      <c r="E3" s="110"/>
      <c r="F3" s="110"/>
      <c r="G3" s="1"/>
    </row>
    <row r="4" spans="1:7" ht="25.5" customHeight="1" x14ac:dyDescent="0.45">
      <c r="A4" s="1"/>
      <c r="B4" s="110"/>
      <c r="C4" s="110"/>
      <c r="D4" s="110"/>
      <c r="E4" s="110"/>
      <c r="F4" s="11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7" t="s">
        <v>98</v>
      </c>
      <c r="C8" s="118"/>
      <c r="D8" s="118"/>
      <c r="E8" s="118"/>
      <c r="F8" s="119"/>
      <c r="G8" s="1"/>
    </row>
    <row r="9" spans="1:7" ht="15" customHeight="1" x14ac:dyDescent="0.45">
      <c r="A9" s="1"/>
      <c r="B9" s="50" t="s">
        <v>17</v>
      </c>
      <c r="C9" s="50" t="s">
        <v>11</v>
      </c>
      <c r="D9" s="51"/>
      <c r="E9" s="50" t="s">
        <v>32</v>
      </c>
      <c r="F9" s="51"/>
      <c r="G9" s="1"/>
    </row>
    <row r="10" spans="1:7" x14ac:dyDescent="0.45">
      <c r="A10" s="1"/>
      <c r="B10" s="25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57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57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17" t="s">
        <v>99</v>
      </c>
      <c r="C15" s="118"/>
      <c r="D15" s="118"/>
      <c r="E15" s="118"/>
      <c r="F15" s="119"/>
      <c r="G15" s="1"/>
    </row>
    <row r="16" spans="1:7" x14ac:dyDescent="0.45">
      <c r="A16" s="1"/>
      <c r="B16" s="50" t="s">
        <v>17</v>
      </c>
      <c r="C16" s="50" t="s">
        <v>11</v>
      </c>
      <c r="D16" s="51"/>
      <c r="E16" s="50" t="s">
        <v>32</v>
      </c>
      <c r="F16" s="51"/>
      <c r="G16" s="1"/>
    </row>
    <row r="17" spans="1:7" x14ac:dyDescent="0.45">
      <c r="A17" s="1"/>
      <c r="B17" s="25" t="s">
        <v>232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57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57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17" t="s">
        <v>142</v>
      </c>
      <c r="C22" s="118"/>
      <c r="D22" s="118"/>
      <c r="E22" s="118"/>
      <c r="F22" s="119"/>
      <c r="G22" s="1"/>
    </row>
    <row r="23" spans="1:7" x14ac:dyDescent="0.45">
      <c r="A23" s="1"/>
      <c r="B23" s="50" t="s">
        <v>17</v>
      </c>
      <c r="C23" s="50" t="s">
        <v>11</v>
      </c>
      <c r="D23" s="51"/>
      <c r="E23" s="50" t="s">
        <v>32</v>
      </c>
      <c r="F23" s="51"/>
      <c r="G23" s="1"/>
    </row>
    <row r="24" spans="1:7" x14ac:dyDescent="0.45">
      <c r="A24" s="1"/>
      <c r="B24" s="25" t="s">
        <v>232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57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57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17" t="s">
        <v>214</v>
      </c>
      <c r="C29" s="118"/>
      <c r="D29" s="118"/>
      <c r="E29" s="118"/>
      <c r="F29" s="119"/>
      <c r="G29" s="1"/>
    </row>
    <row r="30" spans="1:7" x14ac:dyDescent="0.45">
      <c r="A30" s="1"/>
      <c r="B30" s="50" t="s">
        <v>17</v>
      </c>
      <c r="C30" s="50" t="s">
        <v>11</v>
      </c>
      <c r="D30" s="51"/>
      <c r="E30" s="50" t="s">
        <v>32</v>
      </c>
      <c r="F30" s="51"/>
      <c r="G30" s="1"/>
    </row>
    <row r="31" spans="1:7" x14ac:dyDescent="0.45">
      <c r="A31" s="1"/>
      <c r="B31" s="25" t="s">
        <v>232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57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57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rXmV7uOCmY1jcPsyPdrihPVyCyZQ0sHaI6HdWf4rgqxuKzVScDjdIrKgUYeZ+DyisbnA0EBgkCM0SFRY8pLCwg==" saltValue="CaE9h0IUtBrUA3PU5Y4v+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10" t="s">
        <v>164</v>
      </c>
      <c r="C3" s="110"/>
      <c r="D3" s="1"/>
    </row>
    <row r="4" spans="1:4" ht="25.5" customHeight="1" x14ac:dyDescent="0.45">
      <c r="A4" s="1"/>
      <c r="B4" s="110"/>
      <c r="C4" s="110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7" t="s">
        <v>14</v>
      </c>
      <c r="C8" s="20"/>
      <c r="D8" s="1"/>
    </row>
    <row r="9" spans="1:4" x14ac:dyDescent="0.45">
      <c r="A9" s="1"/>
      <c r="B9" s="65" t="s">
        <v>118</v>
      </c>
      <c r="C9" s="26">
        <v>1.2699999999999999E-2</v>
      </c>
      <c r="D9" s="1"/>
    </row>
    <row r="10" spans="1:4" x14ac:dyDescent="0.45">
      <c r="A10" s="1"/>
      <c r="B10" s="65" t="s">
        <v>22</v>
      </c>
      <c r="C10" s="26">
        <v>1.7500000000000002E-2</v>
      </c>
      <c r="D10" s="1"/>
    </row>
    <row r="11" spans="1:4" x14ac:dyDescent="0.45">
      <c r="A11" s="1"/>
      <c r="B11" s="65" t="s">
        <v>119</v>
      </c>
      <c r="C11" s="26">
        <v>1.6899999999999998E-2</v>
      </c>
      <c r="D11" s="1"/>
    </row>
    <row r="12" spans="1:4" x14ac:dyDescent="0.45">
      <c r="A12" s="1"/>
      <c r="B12" s="33" t="s">
        <v>42</v>
      </c>
      <c r="C12" s="34">
        <v>1.9699999999999999E-2</v>
      </c>
      <c r="D12" s="1"/>
    </row>
    <row r="13" spans="1:4" x14ac:dyDescent="0.45">
      <c r="A13" s="1"/>
      <c r="B13" s="33" t="s">
        <v>140</v>
      </c>
      <c r="C13" s="34">
        <v>1.2200000000000001E-2</v>
      </c>
      <c r="D13" s="1"/>
    </row>
    <row r="14" spans="1:4" x14ac:dyDescent="0.45">
      <c r="A14" s="1"/>
      <c r="B14" s="33" t="s">
        <v>216</v>
      </c>
      <c r="C14" s="72">
        <v>3.3E-3</v>
      </c>
      <c r="D14" s="1"/>
    </row>
    <row r="15" spans="1:4" x14ac:dyDescent="0.45">
      <c r="A15" s="1"/>
      <c r="B15" s="117"/>
      <c r="C15" s="119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7" t="s">
        <v>106</v>
      </c>
      <c r="C18" s="20"/>
      <c r="D18" s="1"/>
    </row>
    <row r="19" spans="1:4" x14ac:dyDescent="0.45">
      <c r="A19" s="1"/>
      <c r="B19" s="65" t="s">
        <v>120</v>
      </c>
      <c r="C19" s="23">
        <v>9.1000000000000004E-3</v>
      </c>
      <c r="D19" s="1"/>
    </row>
    <row r="20" spans="1:4" x14ac:dyDescent="0.45">
      <c r="A20" s="1"/>
      <c r="B20" s="65" t="s">
        <v>121</v>
      </c>
      <c r="C20" s="23">
        <v>1.77E-2</v>
      </c>
      <c r="D20" s="1"/>
    </row>
    <row r="21" spans="1:4" x14ac:dyDescent="0.45">
      <c r="A21" s="1"/>
      <c r="B21" s="65" t="s">
        <v>122</v>
      </c>
      <c r="C21" s="23">
        <v>8.6999999999999994E-3</v>
      </c>
      <c r="D21" s="1"/>
    </row>
    <row r="22" spans="1:4" x14ac:dyDescent="0.45">
      <c r="A22" s="1"/>
      <c r="B22" s="65" t="s">
        <v>123</v>
      </c>
      <c r="C22" s="35">
        <v>2.8400000000000002E-2</v>
      </c>
      <c r="D22" s="1"/>
    </row>
    <row r="23" spans="1:4" x14ac:dyDescent="0.45">
      <c r="A23" s="1"/>
      <c r="B23" s="65" t="s">
        <v>146</v>
      </c>
      <c r="C23" s="35">
        <v>2.75E-2</v>
      </c>
      <c r="D23" s="1"/>
    </row>
    <row r="24" spans="1:4" x14ac:dyDescent="0.45">
      <c r="A24" s="1"/>
      <c r="B24" s="65" t="s">
        <v>217</v>
      </c>
      <c r="C24" s="35">
        <v>1.4800000000000001E-2</v>
      </c>
      <c r="D24" s="1"/>
    </row>
    <row r="25" spans="1:4" x14ac:dyDescent="0.45">
      <c r="A25" s="1"/>
      <c r="B25" s="57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57" t="s">
        <v>107</v>
      </c>
      <c r="C28" s="20"/>
      <c r="D28" s="1"/>
    </row>
    <row r="29" spans="1:4" x14ac:dyDescent="0.45">
      <c r="A29" s="1"/>
      <c r="B29" s="65" t="s">
        <v>124</v>
      </c>
      <c r="C29" s="26">
        <v>0.02</v>
      </c>
      <c r="D29" s="1"/>
    </row>
    <row r="30" spans="1:4" x14ac:dyDescent="0.45">
      <c r="A30" s="1"/>
      <c r="B30" s="57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Ijt992EV747oi+BcEUoE1HXxj9VcozRsNf7xL1IKkle5rPRNBaFfF0i4TWK3/2GSNhTpe7VaH61TCtCdW9+SFw==" saltValue="k6uH+RAGO8IzJ1USHuOFHw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91" t="s">
        <v>183</v>
      </c>
      <c r="C3" s="91"/>
      <c r="D3" s="91"/>
      <c r="E3" s="1"/>
    </row>
    <row r="4" spans="1:5" ht="15" customHeight="1" x14ac:dyDescent="0.45">
      <c r="A4" s="1"/>
      <c r="B4" s="91"/>
      <c r="C4" s="91"/>
      <c r="D4" s="91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57" t="s">
        <v>13</v>
      </c>
      <c r="C8" s="58"/>
      <c r="D8" s="20"/>
      <c r="E8" s="1"/>
    </row>
    <row r="9" spans="1:5" x14ac:dyDescent="0.45">
      <c r="A9" s="1"/>
      <c r="B9" s="53" t="s">
        <v>24</v>
      </c>
      <c r="C9" s="7">
        <f>'Fane 3. Omkostninger i ØR2021'!E20</f>
        <v>9762909.1425744053</v>
      </c>
      <c r="D9" s="8" t="s">
        <v>3</v>
      </c>
      <c r="E9" s="1"/>
    </row>
    <row r="10" spans="1:5" x14ac:dyDescent="0.45">
      <c r="A10" s="1"/>
      <c r="B10" s="49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45">
      <c r="A11" s="1"/>
      <c r="B11" s="49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41333.568516399602</v>
      </c>
      <c r="D11" s="8" t="s">
        <v>3</v>
      </c>
      <c r="E11" s="1"/>
    </row>
    <row r="12" spans="1:5" ht="17.100000000000001" customHeight="1" x14ac:dyDescent="0.45">
      <c r="A12" s="1"/>
      <c r="B12" s="30" t="s">
        <v>40</v>
      </c>
      <c r="C12" s="7">
        <f>'Fane 9.1. Varige tillæg'!C12</f>
        <v>0</v>
      </c>
      <c r="D12" s="8" t="s">
        <v>3</v>
      </c>
      <c r="E12" s="1"/>
    </row>
    <row r="13" spans="1:5" ht="17.100000000000001" customHeight="1" x14ac:dyDescent="0.45">
      <c r="A13" s="1"/>
      <c r="B13" s="30" t="s">
        <v>41</v>
      </c>
      <c r="C13" s="9">
        <f>'Fane 9.1. Varige tillæg'!E12</f>
        <v>0</v>
      </c>
      <c r="D13" s="8" t="s">
        <v>3</v>
      </c>
      <c r="E13" s="1"/>
    </row>
    <row r="14" spans="1:5" ht="17.100000000000001" customHeight="1" x14ac:dyDescent="0.4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4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4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4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45">
      <c r="A18" s="1"/>
      <c r="B18" s="30" t="s">
        <v>18</v>
      </c>
      <c r="C18" s="9">
        <f>C9*'Fane 12. Nøgletal'!C13+SUM(C12:C17)*'Fane 12. Nøgletal'!C14</f>
        <v>119107.49153940775</v>
      </c>
      <c r="D18" s="8" t="s">
        <v>3</v>
      </c>
      <c r="E18" s="1"/>
    </row>
    <row r="19" spans="1:5" ht="17.100000000000001" customHeight="1" x14ac:dyDescent="0.45">
      <c r="A19" s="1"/>
      <c r="B19" s="30" t="s">
        <v>9</v>
      </c>
      <c r="C19" s="9">
        <f>-SUM(C9,C12:C18)*'Fane 5. Individuelt eff. krav'!G10</f>
        <v>0</v>
      </c>
      <c r="D19" s="8" t="s">
        <v>3</v>
      </c>
      <c r="E19" s="1"/>
    </row>
    <row r="20" spans="1:5" ht="17.100000000000001" customHeight="1" x14ac:dyDescent="0.45">
      <c r="A20" s="1"/>
      <c r="B20" s="30" t="s">
        <v>25</v>
      </c>
      <c r="C20" s="9">
        <f>-'Fane 4.1. Gen. krav - drift'!G38</f>
        <v>-117975.9147777668</v>
      </c>
      <c r="D20" s="8" t="s">
        <v>3</v>
      </c>
      <c r="E20" s="1"/>
    </row>
    <row r="21" spans="1:5" ht="17.100000000000001" customHeight="1" x14ac:dyDescent="0.45">
      <c r="A21" s="1"/>
      <c r="B21" s="30" t="s">
        <v>26</v>
      </c>
      <c r="C21" s="9">
        <f>-'Fane 4.2. Gen. krav - anlæg'!G38</f>
        <v>-109662.79514172026</v>
      </c>
      <c r="D21" s="8" t="s">
        <v>3</v>
      </c>
      <c r="E21" s="1"/>
    </row>
    <row r="22" spans="1:5" ht="17.100000000000001" customHeight="1" x14ac:dyDescent="0.45">
      <c r="A22" s="1"/>
      <c r="B22" s="66" t="s">
        <v>20</v>
      </c>
      <c r="C22" s="10">
        <f>SUM(C9,C12:C21)</f>
        <v>9654377.9241943248</v>
      </c>
      <c r="D22" s="11" t="s">
        <v>3</v>
      </c>
      <c r="E22" s="1"/>
    </row>
    <row r="23" spans="1:5" ht="15" customHeight="1" x14ac:dyDescent="0.45">
      <c r="A23" s="1"/>
      <c r="B23" s="57" t="s">
        <v>12</v>
      </c>
      <c r="C23" s="58"/>
      <c r="D23" s="20"/>
      <c r="E23" s="1"/>
    </row>
    <row r="24" spans="1:5" ht="15" customHeight="1" x14ac:dyDescent="0.45">
      <c r="A24" s="1"/>
      <c r="B24" s="50" t="s">
        <v>12</v>
      </c>
      <c r="C24" s="10">
        <f>'Fane 6. Ikke-påvirkelige omk.'!C16</f>
        <v>6986761.458334621</v>
      </c>
      <c r="D24" s="11" t="s">
        <v>3</v>
      </c>
      <c r="E24" s="1"/>
    </row>
    <row r="25" spans="1:5" ht="15" customHeight="1" x14ac:dyDescent="0.45">
      <c r="A25" s="1"/>
      <c r="B25" s="57" t="s">
        <v>89</v>
      </c>
      <c r="C25" s="58"/>
      <c r="D25" s="20"/>
      <c r="E25" s="1"/>
    </row>
    <row r="26" spans="1:5" ht="15" customHeight="1" x14ac:dyDescent="0.4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4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45">
      <c r="A28" s="1"/>
      <c r="B28" s="66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45">
      <c r="A29" s="1"/>
      <c r="B29" s="36" t="s">
        <v>161</v>
      </c>
      <c r="C29" s="58"/>
      <c r="D29" s="20"/>
      <c r="E29" s="1"/>
    </row>
    <row r="30" spans="1:5" x14ac:dyDescent="0.45">
      <c r="A30" s="1"/>
      <c r="B30" s="69" t="s">
        <v>162</v>
      </c>
      <c r="C30" s="10">
        <f>'Fane 7. Kontrol af ØR2020'!E30</f>
        <v>-2115677.8893976733</v>
      </c>
      <c r="D30" s="11" t="s">
        <v>3</v>
      </c>
      <c r="E30" s="1"/>
    </row>
    <row r="31" spans="1:5" x14ac:dyDescent="0.45">
      <c r="A31" s="1"/>
      <c r="B31" s="36" t="s">
        <v>224</v>
      </c>
      <c r="C31" s="58"/>
      <c r="D31" s="20"/>
      <c r="E31" s="1"/>
    </row>
    <row r="32" spans="1:5" x14ac:dyDescent="0.45">
      <c r="A32" s="1"/>
      <c r="B32" s="69" t="s">
        <v>225</v>
      </c>
      <c r="C32" s="10">
        <v>0</v>
      </c>
      <c r="D32" s="11" t="s">
        <v>3</v>
      </c>
      <c r="E32" s="1"/>
    </row>
    <row r="33" spans="1:5" x14ac:dyDescent="0.45">
      <c r="A33" s="1"/>
      <c r="B33" s="57" t="s">
        <v>30</v>
      </c>
      <c r="C33" s="31">
        <f>SUM(C22,C24,C28,C30,C32)</f>
        <v>14525461.493131272</v>
      </c>
      <c r="D33" s="20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</sheetData>
  <sheetProtection algorithmName="SHA-512" hashValue="qcKZy9q6YNVRzdJWuK9wcJfODiel0UQs5nvf1oiqajfCcGJ/6oDS/JvMwvPcKmH2/EEhNzgst9nsVS0AAUTTAw==" saltValue="A9OigbRoxPvPQrGWO9Rfv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6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91" t="s">
        <v>184</v>
      </c>
      <c r="C3" s="91"/>
      <c r="D3" s="91"/>
      <c r="E3" s="1"/>
    </row>
    <row r="4" spans="1:5" ht="15" customHeight="1" x14ac:dyDescent="0.45">
      <c r="A4" s="1"/>
      <c r="B4" s="91"/>
      <c r="C4" s="91"/>
      <c r="D4" s="91"/>
      <c r="E4" s="1"/>
    </row>
    <row r="5" spans="1:5" x14ac:dyDescent="0.45">
      <c r="A5" s="1"/>
      <c r="B5" s="92" t="s">
        <v>21</v>
      </c>
      <c r="C5" s="92"/>
      <c r="D5" s="92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57" t="s">
        <v>13</v>
      </c>
      <c r="C7" s="58"/>
      <c r="D7" s="20"/>
      <c r="E7" s="1"/>
    </row>
    <row r="8" spans="1:5" ht="15" customHeight="1" x14ac:dyDescent="0.45">
      <c r="A8" s="1"/>
      <c r="B8" s="53" t="s">
        <v>134</v>
      </c>
      <c r="C8" s="7">
        <f>'Fane 2.1. Økonomisk ramme 2022'!C22</f>
        <v>9654377.9241943248</v>
      </c>
      <c r="D8" s="8" t="s">
        <v>3</v>
      </c>
      <c r="E8" s="1"/>
    </row>
    <row r="9" spans="1:5" ht="15" customHeight="1" x14ac:dyDescent="0.45">
      <c r="A9" s="1"/>
      <c r="B9" s="30" t="s">
        <v>28</v>
      </c>
      <c r="C9" s="7">
        <f>-'Fane 11. Bortfald'!C19</f>
        <v>0</v>
      </c>
      <c r="D9" s="8" t="s">
        <v>3</v>
      </c>
      <c r="E9" s="1"/>
    </row>
    <row r="10" spans="1:5" ht="15" customHeight="1" x14ac:dyDescent="0.45">
      <c r="A10" s="1"/>
      <c r="B10" s="30" t="s">
        <v>27</v>
      </c>
      <c r="C10" s="7">
        <f>-'Fane 11. Bortfald'!E19</f>
        <v>0</v>
      </c>
      <c r="D10" s="8" t="s">
        <v>3</v>
      </c>
      <c r="E10" s="1"/>
    </row>
    <row r="11" spans="1:5" ht="15" customHeight="1" x14ac:dyDescent="0.45">
      <c r="A11" s="1"/>
      <c r="B11" s="49" t="s">
        <v>18</v>
      </c>
      <c r="C11" s="9">
        <f>SUM(C8:C10)*'Fane 12. Nøgletal'!C14</f>
        <v>31859.447149841271</v>
      </c>
      <c r="D11" s="8" t="s">
        <v>3</v>
      </c>
      <c r="E11" s="1"/>
    </row>
    <row r="12" spans="1:5" ht="15" customHeight="1" x14ac:dyDescent="0.45">
      <c r="A12" s="1"/>
      <c r="B12" s="4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49" t="s">
        <v>25</v>
      </c>
      <c r="C13" s="9">
        <f>-'Fane 4.1. Gen. krav - drift'!G44</f>
        <v>-115997.93059060277</v>
      </c>
      <c r="D13" s="8" t="s">
        <v>3</v>
      </c>
      <c r="E13" s="1"/>
    </row>
    <row r="14" spans="1:5" ht="15" customHeight="1" x14ac:dyDescent="0.45">
      <c r="A14" s="1"/>
      <c r="B14" s="49" t="s">
        <v>26</v>
      </c>
      <c r="C14" s="9">
        <f>-'Fane 4.2. Gen. krav - anlæg'!G44</f>
        <v>-57584.918301430786</v>
      </c>
      <c r="D14" s="8" t="s">
        <v>3</v>
      </c>
      <c r="E14" s="1"/>
    </row>
    <row r="15" spans="1:5" ht="15" customHeight="1" x14ac:dyDescent="0.45">
      <c r="A15" s="1"/>
      <c r="B15" s="54" t="s">
        <v>20</v>
      </c>
      <c r="C15" s="10">
        <f>SUM(C8:C14)</f>
        <v>9512654.5224521309</v>
      </c>
      <c r="D15" s="11" t="s">
        <v>3</v>
      </c>
      <c r="E15" s="1"/>
    </row>
    <row r="16" spans="1:5" x14ac:dyDescent="0.45">
      <c r="A16" s="1"/>
      <c r="B16" s="57" t="s">
        <v>12</v>
      </c>
      <c r="C16" s="58"/>
      <c r="D16" s="20"/>
      <c r="E16" s="1"/>
    </row>
    <row r="17" spans="1:5" ht="15" customHeight="1" x14ac:dyDescent="0.45">
      <c r="A17" s="1"/>
      <c r="B17" s="50" t="s">
        <v>12</v>
      </c>
      <c r="C17" s="10">
        <f>'Fane 6. Ikke-påvirkelige omk.'!C16*(1+'Fane 12. Nøgletal'!C14)</f>
        <v>7009817.7711471254</v>
      </c>
      <c r="D17" s="11" t="s">
        <v>3</v>
      </c>
      <c r="E17" s="1"/>
    </row>
    <row r="18" spans="1:5" ht="15" customHeight="1" x14ac:dyDescent="0.45">
      <c r="A18" s="1"/>
      <c r="B18" s="57" t="s">
        <v>89</v>
      </c>
      <c r="C18" s="58"/>
      <c r="D18" s="20"/>
      <c r="E18" s="1"/>
    </row>
    <row r="19" spans="1:5" ht="15" customHeight="1" x14ac:dyDescent="0.45">
      <c r="A19" s="1"/>
      <c r="B19" s="30" t="s">
        <v>85</v>
      </c>
      <c r="C19" s="9">
        <f>'Fane 9.2. Engangstillæg'!C22</f>
        <v>0</v>
      </c>
      <c r="D19" s="8" t="s">
        <v>3</v>
      </c>
      <c r="E19" s="1"/>
    </row>
    <row r="20" spans="1:5" ht="15" customHeight="1" x14ac:dyDescent="0.45">
      <c r="A20" s="1"/>
      <c r="B20" s="30" t="s">
        <v>86</v>
      </c>
      <c r="C20" s="9">
        <f>'Fane 9.2. Engangstillæg'!E22</f>
        <v>0</v>
      </c>
      <c r="D20" s="8" t="s">
        <v>3</v>
      </c>
      <c r="E20" s="1"/>
    </row>
    <row r="21" spans="1:5" ht="15" customHeight="1" x14ac:dyDescent="0.45">
      <c r="A21" s="1"/>
      <c r="B21" s="66" t="s">
        <v>90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36" t="s">
        <v>161</v>
      </c>
      <c r="C22" s="58"/>
      <c r="D22" s="20"/>
      <c r="E22" s="1"/>
    </row>
    <row r="23" spans="1:5" ht="15" customHeight="1" x14ac:dyDescent="0.45">
      <c r="A23" s="1"/>
      <c r="B23" s="69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45">
      <c r="A24" s="1"/>
      <c r="B24" s="36" t="s">
        <v>224</v>
      </c>
      <c r="C24" s="58"/>
      <c r="D24" s="20"/>
      <c r="E24" s="1"/>
    </row>
    <row r="25" spans="1:5" x14ac:dyDescent="0.45">
      <c r="A25" s="1"/>
      <c r="B25" s="69" t="s">
        <v>225</v>
      </c>
      <c r="C25" s="10">
        <v>0</v>
      </c>
      <c r="D25" s="11" t="s">
        <v>3</v>
      </c>
      <c r="E25" s="1"/>
    </row>
    <row r="26" spans="1:5" x14ac:dyDescent="0.45">
      <c r="A26" s="1"/>
      <c r="B26" s="57" t="s">
        <v>97</v>
      </c>
      <c r="C26" s="12">
        <f>SUM(C15,C17,C21,C23,C25)</f>
        <v>16522472.293599255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</sheetData>
  <sheetProtection algorithmName="SHA-512" hashValue="Nsxwquxyrp3yVdIhF/1MCpny1mLpmJ/vrGYGZkU7AIQusEWyOAEW6i9NS+5ZsdpRhusNPKAS4lNTmNHo+d8D8A==" saltValue="Y9r0XZ2l8N3yNCv0z9svC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91" t="s">
        <v>185</v>
      </c>
      <c r="C3" s="91"/>
      <c r="D3" s="91"/>
      <c r="E3" s="1"/>
    </row>
    <row r="4" spans="1:5" ht="15" customHeight="1" x14ac:dyDescent="0.45">
      <c r="A4" s="1"/>
      <c r="B4" s="91"/>
      <c r="C4" s="91"/>
      <c r="D4" s="91"/>
      <c r="E4" s="1"/>
    </row>
    <row r="5" spans="1:5" x14ac:dyDescent="0.45">
      <c r="A5" s="1"/>
      <c r="B5" s="92" t="s">
        <v>21</v>
      </c>
      <c r="C5" s="92"/>
      <c r="D5" s="92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57" t="s">
        <v>13</v>
      </c>
      <c r="C7" s="58"/>
      <c r="D7" s="20"/>
      <c r="E7" s="1"/>
    </row>
    <row r="8" spans="1:5" ht="15" customHeight="1" x14ac:dyDescent="0.45">
      <c r="A8" s="1"/>
      <c r="B8" s="53" t="s">
        <v>135</v>
      </c>
      <c r="C8" s="7">
        <f>'Fane 2.2. Økonomisk ramme 2023'!C15</f>
        <v>9512654.5224521309</v>
      </c>
      <c r="D8" s="8" t="s">
        <v>3</v>
      </c>
      <c r="E8" s="1"/>
    </row>
    <row r="9" spans="1:5" ht="15" customHeight="1" x14ac:dyDescent="0.45">
      <c r="A9" s="1"/>
      <c r="B9" s="53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53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9" t="s">
        <v>18</v>
      </c>
      <c r="C11" s="9">
        <f>SUM(C8:C10)*'Fane 12. Nøgletal'!C14</f>
        <v>31391.759924092032</v>
      </c>
      <c r="D11" s="8" t="s">
        <v>3</v>
      </c>
      <c r="E11" s="1"/>
    </row>
    <row r="12" spans="1:5" ht="15" customHeight="1" x14ac:dyDescent="0.45">
      <c r="A12" s="1"/>
      <c r="B12" s="4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49" t="s">
        <v>25</v>
      </c>
      <c r="C13" s="9">
        <f>-'Fane 4.1. Gen. krav - drift'!G50</f>
        <v>-114053.10928632075</v>
      </c>
      <c r="D13" s="8" t="s">
        <v>3</v>
      </c>
      <c r="E13" s="1"/>
    </row>
    <row r="14" spans="1:5" ht="15" customHeight="1" x14ac:dyDescent="0.45">
      <c r="A14" s="1"/>
      <c r="B14" s="49" t="s">
        <v>26</v>
      </c>
      <c r="C14" s="43">
        <f>-'Fane 4.2. Gen. krav - anlæg'!G54</f>
        <v>-56919.879293554484</v>
      </c>
      <c r="D14" s="8" t="s">
        <v>3</v>
      </c>
      <c r="E14" s="1"/>
    </row>
    <row r="15" spans="1:5" x14ac:dyDescent="0.45">
      <c r="A15" s="1"/>
      <c r="B15" s="54" t="s">
        <v>20</v>
      </c>
      <c r="C15" s="10">
        <f>SUM(C8:C14)</f>
        <v>9373073.2937963456</v>
      </c>
      <c r="D15" s="11" t="s">
        <v>3</v>
      </c>
      <c r="E15" s="1"/>
    </row>
    <row r="16" spans="1:5" x14ac:dyDescent="0.45">
      <c r="A16" s="1"/>
      <c r="B16" s="57" t="s">
        <v>12</v>
      </c>
      <c r="C16" s="58"/>
      <c r="D16" s="20"/>
      <c r="E16" s="1"/>
    </row>
    <row r="17" spans="1:5" ht="15" customHeight="1" x14ac:dyDescent="0.45">
      <c r="A17" s="1"/>
      <c r="B17" s="50" t="s">
        <v>12</v>
      </c>
      <c r="C17" s="10">
        <f>'Fane 6. Ikke-påvirkelige omk.'!C16*(1+'Fane 12. Nøgletal'!C14)^2</f>
        <v>7032950.1697919117</v>
      </c>
      <c r="D17" s="11" t="s">
        <v>3</v>
      </c>
      <c r="E17" s="1"/>
    </row>
    <row r="18" spans="1:5" ht="15" customHeight="1" x14ac:dyDescent="0.45">
      <c r="A18" s="1"/>
      <c r="B18" s="57" t="s">
        <v>89</v>
      </c>
      <c r="C18" s="58"/>
      <c r="D18" s="20"/>
      <c r="E18" s="1"/>
    </row>
    <row r="19" spans="1:5" ht="15" customHeight="1" x14ac:dyDescent="0.4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66" t="s">
        <v>90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57" t="s">
        <v>161</v>
      </c>
      <c r="C22" s="58"/>
      <c r="D22" s="20"/>
      <c r="E22" s="1"/>
    </row>
    <row r="23" spans="1:5" x14ac:dyDescent="0.45">
      <c r="A23" s="1"/>
      <c r="B23" s="50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45">
      <c r="A24" s="1"/>
      <c r="B24" s="36" t="s">
        <v>224</v>
      </c>
      <c r="C24" s="58"/>
      <c r="D24" s="20"/>
      <c r="E24" s="1"/>
    </row>
    <row r="25" spans="1:5" ht="15" customHeight="1" x14ac:dyDescent="0.45">
      <c r="A25" s="1"/>
      <c r="B25" s="69" t="s">
        <v>225</v>
      </c>
      <c r="C25" s="10">
        <v>0</v>
      </c>
      <c r="D25" s="11" t="s">
        <v>3</v>
      </c>
      <c r="E25" s="1"/>
    </row>
    <row r="26" spans="1:5" x14ac:dyDescent="0.45">
      <c r="A26" s="1"/>
      <c r="B26" s="57" t="s">
        <v>186</v>
      </c>
      <c r="C26" s="12">
        <f>SUM(C15,C17,C21,C23,C25)</f>
        <v>16406023.463588256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KVHo+oy/F1m73vSYlQlTshSim2WBLqtVszSaPf8BGqou3BA7bNrJ34kZY1C9IJc94ErZvmOD2kVCVgpPmy2wag==" saltValue="ePKAHmCIJWrg+OHK0Oz3W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91" t="s">
        <v>187</v>
      </c>
      <c r="C3" s="91"/>
      <c r="D3" s="91"/>
      <c r="E3" s="1"/>
    </row>
    <row r="4" spans="1:5" ht="15" customHeight="1" x14ac:dyDescent="0.45">
      <c r="A4" s="1"/>
      <c r="B4" s="91"/>
      <c r="C4" s="91"/>
      <c r="D4" s="91"/>
      <c r="E4" s="1"/>
    </row>
    <row r="5" spans="1:5" x14ac:dyDescent="0.45">
      <c r="A5" s="1"/>
      <c r="B5" s="92" t="s">
        <v>21</v>
      </c>
      <c r="C5" s="92"/>
      <c r="D5" s="92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57" t="s">
        <v>13</v>
      </c>
      <c r="C7" s="58"/>
      <c r="D7" s="20"/>
      <c r="E7" s="1"/>
    </row>
    <row r="8" spans="1:5" ht="15" customHeight="1" x14ac:dyDescent="0.45">
      <c r="A8" s="1"/>
      <c r="B8" s="53" t="s">
        <v>188</v>
      </c>
      <c r="C8" s="7">
        <f>'Fane 2.3. Økonomisk ramme 2024'!C15</f>
        <v>9373073.2937963456</v>
      </c>
      <c r="D8" s="8" t="s">
        <v>3</v>
      </c>
      <c r="E8" s="1"/>
    </row>
    <row r="9" spans="1:5" ht="15" customHeight="1" x14ac:dyDescent="0.45">
      <c r="A9" s="1"/>
      <c r="B9" s="53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53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9" t="s">
        <v>18</v>
      </c>
      <c r="C11" s="9">
        <f>SUM(C8:C10)*'Fane 12. Nøgletal'!C14</f>
        <v>30931.141869527939</v>
      </c>
      <c r="D11" s="8" t="s">
        <v>3</v>
      </c>
      <c r="E11" s="1"/>
    </row>
    <row r="12" spans="1:5" ht="15" customHeight="1" x14ac:dyDescent="0.45">
      <c r="A12" s="1"/>
      <c r="B12" s="49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49" t="s">
        <v>25</v>
      </c>
      <c r="C13" s="9">
        <f>-'Fane 4.1. Gen. krav - drift'!G56</f>
        <v>-112140.89485602631</v>
      </c>
      <c r="D13" s="8" t="s">
        <v>3</v>
      </c>
      <c r="E13" s="1"/>
    </row>
    <row r="14" spans="1:5" ht="15" customHeight="1" x14ac:dyDescent="0.45">
      <c r="A14" s="1"/>
      <c r="B14" s="49" t="s">
        <v>26</v>
      </c>
      <c r="C14" s="9">
        <f>-'Fane 4.2. Gen. krav - anlæg'!G60</f>
        <v>-56262.52071477392</v>
      </c>
      <c r="D14" s="8" t="s">
        <v>3</v>
      </c>
      <c r="E14" s="1"/>
    </row>
    <row r="15" spans="1:5" x14ac:dyDescent="0.45">
      <c r="A15" s="1"/>
      <c r="B15" s="54" t="s">
        <v>20</v>
      </c>
      <c r="C15" s="10">
        <f>SUM(C8:C14)</f>
        <v>9235601.0200950727</v>
      </c>
      <c r="D15" s="11" t="s">
        <v>3</v>
      </c>
      <c r="E15" s="1"/>
    </row>
    <row r="16" spans="1:5" x14ac:dyDescent="0.45">
      <c r="A16" s="1"/>
      <c r="B16" s="57" t="s">
        <v>12</v>
      </c>
      <c r="C16" s="58"/>
      <c r="D16" s="20"/>
      <c r="E16" s="1"/>
    </row>
    <row r="17" spans="1:5" ht="15" customHeight="1" x14ac:dyDescent="0.45">
      <c r="A17" s="1"/>
      <c r="B17" s="50" t="s">
        <v>12</v>
      </c>
      <c r="C17" s="10">
        <f>'Fane 6. Ikke-påvirkelige omk.'!C16*(1+'Fane 12. Nøgletal'!C14)^3</f>
        <v>7056158.9053522255</v>
      </c>
      <c r="D17" s="11" t="s">
        <v>3</v>
      </c>
      <c r="E17" s="1"/>
    </row>
    <row r="18" spans="1:5" ht="15" customHeight="1" x14ac:dyDescent="0.45">
      <c r="A18" s="1"/>
      <c r="B18" s="57" t="s">
        <v>89</v>
      </c>
      <c r="C18" s="58"/>
      <c r="D18" s="20"/>
      <c r="E18" s="1"/>
    </row>
    <row r="19" spans="1:5" ht="15" customHeight="1" x14ac:dyDescent="0.4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66" t="s">
        <v>90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57" t="s">
        <v>161</v>
      </c>
      <c r="C22" s="58"/>
      <c r="D22" s="20"/>
      <c r="E22" s="1"/>
    </row>
    <row r="23" spans="1:5" x14ac:dyDescent="0.45">
      <c r="A23" s="1"/>
      <c r="B23" s="50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45">
      <c r="A24" s="1"/>
      <c r="B24" s="36" t="s">
        <v>224</v>
      </c>
      <c r="C24" s="58"/>
      <c r="D24" s="20"/>
      <c r="E24" s="1"/>
    </row>
    <row r="25" spans="1:5" x14ac:dyDescent="0.45">
      <c r="A25" s="1"/>
      <c r="B25" s="69" t="s">
        <v>225</v>
      </c>
      <c r="C25" s="10">
        <v>0</v>
      </c>
      <c r="D25" s="11" t="s">
        <v>3</v>
      </c>
      <c r="E25" s="1"/>
    </row>
    <row r="26" spans="1:5" x14ac:dyDescent="0.45">
      <c r="A26" s="1"/>
      <c r="B26" s="57" t="s">
        <v>189</v>
      </c>
      <c r="C26" s="12">
        <f>SUM(C15,C17,C21,C23,C25)</f>
        <v>16291759.925447298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SeybUoFNjzYtUr/w2UKDEAoCddDRon1yJWcxihnYDEUyD1ppCHLyU7EYfJpXzD+rW76P3NLWolqld5LoJ2wuoA==" saltValue="Ip4DDCo23qnnoW5KME5N5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10" t="s">
        <v>190</v>
      </c>
      <c r="C3" s="110"/>
      <c r="D3" s="110"/>
      <c r="E3" s="110"/>
      <c r="F3" s="110"/>
      <c r="G3" s="1"/>
    </row>
    <row r="4" spans="1:7" ht="29.25" customHeight="1" x14ac:dyDescent="0.45">
      <c r="A4" s="1"/>
      <c r="B4" s="110"/>
      <c r="C4" s="110"/>
      <c r="D4" s="110"/>
      <c r="E4" s="110"/>
      <c r="F4" s="110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7" t="s">
        <v>223</v>
      </c>
      <c r="C8" s="58"/>
      <c r="D8" s="58"/>
      <c r="E8" s="58"/>
      <c r="F8" s="20"/>
      <c r="G8" s="1"/>
    </row>
    <row r="9" spans="1:7" x14ac:dyDescent="0.45">
      <c r="A9" s="1"/>
      <c r="B9" s="111" t="s">
        <v>23</v>
      </c>
      <c r="C9" s="112"/>
      <c r="D9" s="113"/>
      <c r="E9" s="7">
        <v>9830808.1702469233</v>
      </c>
      <c r="F9" s="8" t="s">
        <v>3</v>
      </c>
      <c r="G9" s="1"/>
    </row>
    <row r="10" spans="1:7" ht="15" customHeight="1" x14ac:dyDescent="0.45">
      <c r="A10" s="1"/>
      <c r="B10" s="96" t="s">
        <v>40</v>
      </c>
      <c r="C10" s="97"/>
      <c r="D10" s="98"/>
      <c r="E10" s="9">
        <v>0</v>
      </c>
      <c r="F10" s="8" t="s">
        <v>3</v>
      </c>
      <c r="G10" s="1"/>
    </row>
    <row r="11" spans="1:7" ht="15" customHeight="1" x14ac:dyDescent="0.45">
      <c r="A11" s="1"/>
      <c r="B11" s="96" t="s">
        <v>41</v>
      </c>
      <c r="C11" s="97"/>
      <c r="D11" s="98"/>
      <c r="E11" s="9">
        <v>41990.104800000001</v>
      </c>
      <c r="F11" s="8" t="s">
        <v>3</v>
      </c>
      <c r="G11" s="1"/>
    </row>
    <row r="12" spans="1:7" x14ac:dyDescent="0.45">
      <c r="A12" s="1"/>
      <c r="B12" s="96" t="s">
        <v>28</v>
      </c>
      <c r="C12" s="97"/>
      <c r="D12" s="98"/>
      <c r="E12" s="9">
        <v>0</v>
      </c>
      <c r="F12" s="8" t="s">
        <v>3</v>
      </c>
      <c r="G12" s="1"/>
    </row>
    <row r="13" spans="1:7" x14ac:dyDescent="0.45">
      <c r="A13" s="1"/>
      <c r="B13" s="96" t="s">
        <v>27</v>
      </c>
      <c r="C13" s="97"/>
      <c r="D13" s="98"/>
      <c r="E13" s="9">
        <v>0</v>
      </c>
      <c r="F13" s="8" t="s">
        <v>3</v>
      </c>
      <c r="G13" s="1"/>
    </row>
    <row r="14" spans="1:7" x14ac:dyDescent="0.45">
      <c r="A14" s="1"/>
      <c r="B14" s="96" t="s">
        <v>132</v>
      </c>
      <c r="C14" s="97"/>
      <c r="D14" s="98"/>
      <c r="E14" s="9">
        <v>0</v>
      </c>
      <c r="F14" s="8" t="s">
        <v>3</v>
      </c>
      <c r="G14" s="1"/>
    </row>
    <row r="15" spans="1:7" x14ac:dyDescent="0.45">
      <c r="A15" s="1"/>
      <c r="B15" s="96" t="s">
        <v>133</v>
      </c>
      <c r="C15" s="97"/>
      <c r="D15" s="98"/>
      <c r="E15" s="9">
        <v>0</v>
      </c>
      <c r="F15" s="8" t="s">
        <v>3</v>
      </c>
      <c r="G15" s="1"/>
    </row>
    <row r="16" spans="1:7" x14ac:dyDescent="0.45">
      <c r="A16" s="1"/>
      <c r="B16" s="96" t="s">
        <v>18</v>
      </c>
      <c r="C16" s="97"/>
      <c r="D16" s="98"/>
      <c r="E16" s="9">
        <v>120448.13895557249</v>
      </c>
      <c r="F16" s="8" t="s">
        <v>3</v>
      </c>
      <c r="G16" s="1"/>
    </row>
    <row r="17" spans="1:7" x14ac:dyDescent="0.45">
      <c r="A17" s="1"/>
      <c r="B17" s="96" t="s">
        <v>9</v>
      </c>
      <c r="C17" s="97"/>
      <c r="D17" s="98"/>
      <c r="E17" s="9">
        <v>0</v>
      </c>
      <c r="F17" s="8" t="s">
        <v>3</v>
      </c>
      <c r="G17" s="1"/>
    </row>
    <row r="18" spans="1:7" x14ac:dyDescent="0.45">
      <c r="A18" s="1"/>
      <c r="B18" s="96" t="s">
        <v>25</v>
      </c>
      <c r="C18" s="97"/>
      <c r="D18" s="98"/>
      <c r="E18" s="9">
        <v>-118932.60868200485</v>
      </c>
      <c r="F18" s="8" t="s">
        <v>3</v>
      </c>
      <c r="G18" s="1"/>
    </row>
    <row r="19" spans="1:7" x14ac:dyDescent="0.45">
      <c r="A19" s="1"/>
      <c r="B19" s="96" t="s">
        <v>26</v>
      </c>
      <c r="C19" s="97"/>
      <c r="D19" s="98"/>
      <c r="E19" s="9">
        <v>-111404.66274608666</v>
      </c>
      <c r="F19" s="8" t="s">
        <v>3</v>
      </c>
      <c r="G19" s="1"/>
    </row>
    <row r="20" spans="1:7" x14ac:dyDescent="0.45">
      <c r="A20" s="1"/>
      <c r="B20" s="99" t="s">
        <v>20</v>
      </c>
      <c r="C20" s="100"/>
      <c r="D20" s="101"/>
      <c r="E20" s="10">
        <f>SUM(E9:E19)</f>
        <v>9762909.1425744053</v>
      </c>
      <c r="F20" s="11" t="s">
        <v>3</v>
      </c>
      <c r="G20" s="1"/>
    </row>
    <row r="21" spans="1:7" x14ac:dyDescent="0.45">
      <c r="A21" s="1"/>
      <c r="B21" s="57" t="s">
        <v>12</v>
      </c>
      <c r="C21" s="58"/>
      <c r="D21" s="58"/>
      <c r="E21" s="58"/>
      <c r="F21" s="20"/>
      <c r="G21" s="1"/>
    </row>
    <row r="22" spans="1:7" x14ac:dyDescent="0.45">
      <c r="A22" s="1"/>
      <c r="B22" s="107" t="s">
        <v>12</v>
      </c>
      <c r="C22" s="108"/>
      <c r="D22" s="109"/>
      <c r="E22" s="10">
        <v>7778738.5081182001</v>
      </c>
      <c r="F22" s="11" t="s">
        <v>3</v>
      </c>
      <c r="G22" s="1"/>
    </row>
    <row r="23" spans="1:7" ht="15" customHeight="1" x14ac:dyDescent="0.45">
      <c r="A23" s="1"/>
      <c r="B23" s="105" t="s">
        <v>89</v>
      </c>
      <c r="C23" s="106"/>
      <c r="D23" s="106"/>
      <c r="E23" s="58"/>
      <c r="F23" s="58"/>
      <c r="G23" s="1"/>
    </row>
    <row r="24" spans="1:7" ht="14.25" customHeight="1" x14ac:dyDescent="0.45">
      <c r="A24" s="1"/>
      <c r="B24" s="93" t="s">
        <v>85</v>
      </c>
      <c r="C24" s="94"/>
      <c r="D24" s="95"/>
      <c r="E24" s="9">
        <v>0</v>
      </c>
      <c r="F24" s="8" t="s">
        <v>3</v>
      </c>
      <c r="G24" s="1"/>
    </row>
    <row r="25" spans="1:7" ht="14.25" customHeight="1" x14ac:dyDescent="0.45">
      <c r="A25" s="1"/>
      <c r="B25" s="93" t="s">
        <v>86</v>
      </c>
      <c r="C25" s="94"/>
      <c r="D25" s="95"/>
      <c r="E25" s="9">
        <v>0</v>
      </c>
      <c r="F25" s="8" t="s">
        <v>3</v>
      </c>
      <c r="G25" s="1"/>
    </row>
    <row r="26" spans="1:7" x14ac:dyDescent="0.45">
      <c r="A26" s="1"/>
      <c r="B26" s="102" t="s">
        <v>90</v>
      </c>
      <c r="C26" s="103"/>
      <c r="D26" s="103"/>
      <c r="E26" s="10">
        <v>0</v>
      </c>
      <c r="F26" s="11" t="s">
        <v>3</v>
      </c>
      <c r="G26" s="1"/>
    </row>
    <row r="27" spans="1:7" x14ac:dyDescent="0.45">
      <c r="A27" s="1"/>
      <c r="B27" s="57" t="s">
        <v>161</v>
      </c>
      <c r="C27" s="58"/>
      <c r="D27" s="58"/>
      <c r="E27" s="58"/>
      <c r="F27" s="20"/>
      <c r="G27" s="1"/>
    </row>
    <row r="28" spans="1:7" ht="15" customHeight="1" x14ac:dyDescent="0.45">
      <c r="A28" s="1"/>
      <c r="B28" s="102" t="s">
        <v>162</v>
      </c>
      <c r="C28" s="103"/>
      <c r="D28" s="104"/>
      <c r="E28" s="10">
        <v>-2823771.7863916308</v>
      </c>
      <c r="F28" s="11" t="s">
        <v>3</v>
      </c>
      <c r="G28" s="1"/>
    </row>
    <row r="29" spans="1:7" x14ac:dyDescent="0.45">
      <c r="A29" s="1"/>
      <c r="B29" s="57" t="s">
        <v>246</v>
      </c>
      <c r="C29" s="58"/>
      <c r="D29" s="58"/>
      <c r="E29" s="58"/>
      <c r="F29" s="20"/>
      <c r="G29" s="1"/>
    </row>
    <row r="30" spans="1:7" ht="15.6" customHeight="1" x14ac:dyDescent="0.45">
      <c r="A30" s="1"/>
      <c r="B30" s="107" t="s">
        <v>247</v>
      </c>
      <c r="C30" s="108"/>
      <c r="D30" s="109"/>
      <c r="E30" s="10">
        <v>0</v>
      </c>
      <c r="F30" s="11" t="s">
        <v>3</v>
      </c>
      <c r="G30" s="1"/>
    </row>
    <row r="31" spans="1:7" x14ac:dyDescent="0.45">
      <c r="A31" s="1"/>
      <c r="B31" s="57" t="s">
        <v>29</v>
      </c>
      <c r="C31" s="58"/>
      <c r="D31" s="58"/>
      <c r="E31" s="12">
        <f>E20+E22+E26+E28+E30</f>
        <v>14717875.864300974</v>
      </c>
      <c r="F31" s="13" t="s">
        <v>3</v>
      </c>
      <c r="G31" s="1"/>
    </row>
    <row r="32" spans="1:7" ht="27.75" customHeight="1" x14ac:dyDescent="0.45">
      <c r="A32" s="1"/>
      <c r="B32" s="93" t="s">
        <v>191</v>
      </c>
      <c r="C32" s="94"/>
      <c r="D32" s="94"/>
      <c r="E32" s="94"/>
      <c r="F32" s="95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Ut8RhbHLkZXBmdQ0mwuEPT9G1BOWyZUHFviKYqvcw4xwFbMbjj/StzUcYOkRBNT98/GOL4Y/yVxlzQ+jcZlKRw==" saltValue="ulhTdIRJ5o5q7evmFshiSQ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7.398437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110" t="s">
        <v>115</v>
      </c>
      <c r="C1" s="110"/>
      <c r="D1" s="110"/>
      <c r="E1" s="110"/>
      <c r="F1" s="110"/>
      <c r="G1" s="110"/>
      <c r="H1" s="110"/>
      <c r="I1" s="1"/>
    </row>
    <row r="2" spans="1:9" ht="15" customHeight="1" x14ac:dyDescent="0.45">
      <c r="A2" s="1"/>
      <c r="B2" s="110"/>
      <c r="C2" s="110"/>
      <c r="D2" s="110"/>
      <c r="E2" s="110"/>
      <c r="F2" s="110"/>
      <c r="G2" s="110"/>
      <c r="H2" s="110"/>
      <c r="I2" s="1"/>
    </row>
    <row r="3" spans="1:9" ht="15" customHeight="1" x14ac:dyDescent="0.45">
      <c r="A3" s="1"/>
      <c r="B3" s="110"/>
      <c r="C3" s="110"/>
      <c r="D3" s="110"/>
      <c r="E3" s="110"/>
      <c r="F3" s="110"/>
      <c r="G3" s="110"/>
      <c r="H3" s="110"/>
      <c r="I3" s="1"/>
    </row>
    <row r="4" spans="1:9" x14ac:dyDescent="0.45">
      <c r="A4" s="1"/>
      <c r="B4" s="117" t="s">
        <v>54</v>
      </c>
      <c r="C4" s="118"/>
      <c r="D4" s="118"/>
      <c r="E4" s="118"/>
      <c r="F4" s="118"/>
      <c r="G4" s="118"/>
      <c r="H4" s="119"/>
      <c r="I4" s="1"/>
    </row>
    <row r="5" spans="1:9" x14ac:dyDescent="0.45">
      <c r="A5" s="1"/>
      <c r="B5" s="114" t="s">
        <v>43</v>
      </c>
      <c r="C5" s="115"/>
      <c r="D5" s="115"/>
      <c r="E5" s="115"/>
      <c r="F5" s="116"/>
      <c r="G5" s="24">
        <v>5943631.9024709687</v>
      </c>
      <c r="H5" s="14" t="s">
        <v>3</v>
      </c>
      <c r="I5" s="1"/>
    </row>
    <row r="6" spans="1:9" x14ac:dyDescent="0.45">
      <c r="A6" s="1"/>
      <c r="B6" s="114" t="s">
        <v>44</v>
      </c>
      <c r="C6" s="115"/>
      <c r="D6" s="115"/>
      <c r="E6" s="115"/>
      <c r="F6" s="116"/>
      <c r="G6" s="24">
        <f>G5*'Fane 12. Nøgletal'!C29</f>
        <v>118872.63804941937</v>
      </c>
      <c r="H6" s="14" t="s">
        <v>3</v>
      </c>
      <c r="I6" s="1"/>
    </row>
    <row r="7" spans="1:9" x14ac:dyDescent="0.45">
      <c r="A7" s="1"/>
      <c r="B7" s="57"/>
      <c r="C7" s="58"/>
      <c r="D7" s="58"/>
      <c r="E7" s="58"/>
      <c r="F7" s="58"/>
      <c r="G7" s="58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117" t="s">
        <v>55</v>
      </c>
      <c r="C9" s="118"/>
      <c r="D9" s="118"/>
      <c r="E9" s="118"/>
      <c r="F9" s="118"/>
      <c r="G9" s="118"/>
      <c r="H9" s="119"/>
      <c r="I9" s="1"/>
    </row>
    <row r="10" spans="1:9" x14ac:dyDescent="0.45">
      <c r="A10" s="1"/>
      <c r="B10" s="114" t="s">
        <v>45</v>
      </c>
      <c r="C10" s="115"/>
      <c r="D10" s="115"/>
      <c r="E10" s="115"/>
      <c r="F10" s="116"/>
      <c r="G10" s="24">
        <f>(G5-G6)*(1+'Fane 12. Nøgletal'!C9)</f>
        <v>5898733.707079703</v>
      </c>
      <c r="H10" s="14" t="s">
        <v>3</v>
      </c>
      <c r="I10" s="1"/>
    </row>
    <row r="11" spans="1:9" x14ac:dyDescent="0.45">
      <c r="A11" s="1"/>
      <c r="B11" s="120" t="s">
        <v>46</v>
      </c>
      <c r="C11" s="121"/>
      <c r="D11" s="121"/>
      <c r="E11" s="121"/>
      <c r="F11" s="122"/>
      <c r="G11" s="9">
        <v>0</v>
      </c>
      <c r="H11" s="14" t="s">
        <v>3</v>
      </c>
      <c r="I11" s="1"/>
    </row>
    <row r="12" spans="1:9" x14ac:dyDescent="0.45">
      <c r="A12" s="1"/>
      <c r="B12" s="114" t="s">
        <v>47</v>
      </c>
      <c r="C12" s="115"/>
      <c r="D12" s="115"/>
      <c r="E12" s="115"/>
      <c r="F12" s="116"/>
      <c r="G12" s="24">
        <f>(G10+G11)*'Fane 12. Nøgletal'!C29</f>
        <v>117974.67414159406</v>
      </c>
      <c r="H12" s="14" t="s">
        <v>3</v>
      </c>
      <c r="I12" s="1"/>
    </row>
    <row r="13" spans="1:9" x14ac:dyDescent="0.45">
      <c r="A13" s="1"/>
      <c r="B13" s="57"/>
      <c r="C13" s="58"/>
      <c r="D13" s="58"/>
      <c r="E13" s="58"/>
      <c r="F13" s="58"/>
      <c r="G13" s="58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17" t="s">
        <v>56</v>
      </c>
      <c r="C15" s="118"/>
      <c r="D15" s="118"/>
      <c r="E15" s="118"/>
      <c r="F15" s="118"/>
      <c r="G15" s="118"/>
      <c r="H15" s="119"/>
      <c r="I15" s="1"/>
    </row>
    <row r="16" spans="1:9" x14ac:dyDescent="0.45">
      <c r="A16" s="1"/>
      <c r="B16" s="114" t="s">
        <v>48</v>
      </c>
      <c r="C16" s="115"/>
      <c r="D16" s="115"/>
      <c r="E16" s="115"/>
      <c r="F16" s="116"/>
      <c r="G16" s="24">
        <f>(G10+G11-G12)*(1+'Fane 12. Nøgletal'!C11)</f>
        <v>5878453.8605947625</v>
      </c>
      <c r="H16" s="14" t="s">
        <v>3</v>
      </c>
      <c r="I16" s="1"/>
    </row>
    <row r="17" spans="1:9" x14ac:dyDescent="0.45">
      <c r="A17" s="1"/>
      <c r="B17" s="114" t="s">
        <v>125</v>
      </c>
      <c r="C17" s="115"/>
      <c r="D17" s="115"/>
      <c r="E17" s="115"/>
      <c r="F17" s="116"/>
      <c r="G17" s="24">
        <v>8830.9841435838007</v>
      </c>
      <c r="H17" s="14" t="s">
        <v>3</v>
      </c>
      <c r="I17" s="1"/>
    </row>
    <row r="18" spans="1:9" x14ac:dyDescent="0.45">
      <c r="A18" s="1"/>
      <c r="B18" s="120" t="s">
        <v>49</v>
      </c>
      <c r="C18" s="121"/>
      <c r="D18" s="121"/>
      <c r="E18" s="121"/>
      <c r="F18" s="122"/>
      <c r="G18" s="9">
        <v>0</v>
      </c>
      <c r="H18" s="14" t="s">
        <v>3</v>
      </c>
      <c r="I18" s="1"/>
    </row>
    <row r="19" spans="1:9" x14ac:dyDescent="0.45">
      <c r="A19" s="1"/>
      <c r="B19" s="114" t="s">
        <v>50</v>
      </c>
      <c r="C19" s="115"/>
      <c r="D19" s="115"/>
      <c r="E19" s="115"/>
      <c r="F19" s="116"/>
      <c r="G19" s="24">
        <f>SUM(G16:G18)*'Fane 12. Nøgletal'!C29</f>
        <v>117745.69689476694</v>
      </c>
      <c r="H19" s="14" t="s">
        <v>3</v>
      </c>
      <c r="I19" s="1"/>
    </row>
    <row r="20" spans="1:9" x14ac:dyDescent="0.45">
      <c r="A20" s="1"/>
      <c r="B20" s="57"/>
      <c r="C20" s="58"/>
      <c r="D20" s="58"/>
      <c r="E20" s="58"/>
      <c r="F20" s="58"/>
      <c r="G20" s="58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17" t="s">
        <v>57</v>
      </c>
      <c r="C22" s="118"/>
      <c r="D22" s="118"/>
      <c r="E22" s="118"/>
      <c r="F22" s="118"/>
      <c r="G22" s="118"/>
      <c r="H22" s="119"/>
      <c r="I22" s="1"/>
    </row>
    <row r="23" spans="1:9" x14ac:dyDescent="0.45">
      <c r="A23" s="1"/>
      <c r="B23" s="114" t="s">
        <v>51</v>
      </c>
      <c r="C23" s="115"/>
      <c r="D23" s="115"/>
      <c r="E23" s="115"/>
      <c r="F23" s="116"/>
      <c r="G23" s="24">
        <f>(SUM(G16:G18)-G19)*(1+'Fane 12. Nøgletal'!C11)</f>
        <v>5867044.3594421353</v>
      </c>
      <c r="H23" s="14" t="s">
        <v>3</v>
      </c>
      <c r="I23" s="1"/>
    </row>
    <row r="24" spans="1:9" x14ac:dyDescent="0.45">
      <c r="A24" s="1"/>
      <c r="B24" s="120" t="s">
        <v>52</v>
      </c>
      <c r="C24" s="121"/>
      <c r="D24" s="121"/>
      <c r="E24" s="121"/>
      <c r="F24" s="122"/>
      <c r="G24" s="24">
        <v>127808.67244662001</v>
      </c>
      <c r="H24" s="14" t="s">
        <v>3</v>
      </c>
      <c r="I24" s="1"/>
    </row>
    <row r="25" spans="1:9" x14ac:dyDescent="0.45">
      <c r="A25" s="1"/>
      <c r="B25" s="114" t="s">
        <v>53</v>
      </c>
      <c r="C25" s="115"/>
      <c r="D25" s="115"/>
      <c r="E25" s="115"/>
      <c r="F25" s="116"/>
      <c r="G25" s="24">
        <f>(G23+G24)*'Fane 12. Nøgletal'!C29</f>
        <v>119897.06063777511</v>
      </c>
      <c r="H25" s="14" t="s">
        <v>3</v>
      </c>
      <c r="I25" s="1"/>
    </row>
    <row r="26" spans="1:9" x14ac:dyDescent="0.45">
      <c r="A26" s="1"/>
      <c r="B26" s="57"/>
      <c r="C26" s="58"/>
      <c r="D26" s="58"/>
      <c r="E26" s="58"/>
      <c r="F26" s="58"/>
      <c r="G26" s="58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17" t="s">
        <v>175</v>
      </c>
      <c r="C28" s="118"/>
      <c r="D28" s="118"/>
      <c r="E28" s="118"/>
      <c r="F28" s="118"/>
      <c r="G28" s="118"/>
      <c r="H28" s="119"/>
      <c r="I28" s="1"/>
    </row>
    <row r="29" spans="1:9" x14ac:dyDescent="0.45">
      <c r="A29" s="1"/>
      <c r="B29" s="114" t="s">
        <v>60</v>
      </c>
      <c r="C29" s="115"/>
      <c r="D29" s="115"/>
      <c r="E29" s="115"/>
      <c r="F29" s="116"/>
      <c r="G29" s="24">
        <f>(G23+G24-G25)*(1+'Fane 12. Nøgletal'!C13)</f>
        <v>5946630.4341002423</v>
      </c>
      <c r="H29" s="14" t="s">
        <v>3</v>
      </c>
      <c r="I29" s="1"/>
    </row>
    <row r="30" spans="1:9" x14ac:dyDescent="0.45">
      <c r="A30" s="1"/>
      <c r="B30" s="114" t="s">
        <v>147</v>
      </c>
      <c r="C30" s="115"/>
      <c r="D30" s="115"/>
      <c r="E30" s="115"/>
      <c r="F30" s="116"/>
      <c r="G30" s="9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45">
      <c r="A31" s="1"/>
      <c r="B31" s="114" t="s">
        <v>159</v>
      </c>
      <c r="C31" s="115"/>
      <c r="D31" s="115"/>
      <c r="E31" s="115"/>
      <c r="F31" s="116"/>
      <c r="G31" s="24">
        <f>(G29+G30)*'Fane 12. Nøgletal'!C29</f>
        <v>118932.60868200485</v>
      </c>
      <c r="H31" s="14" t="s">
        <v>3</v>
      </c>
      <c r="I31" s="1"/>
    </row>
    <row r="32" spans="1:9" x14ac:dyDescent="0.45">
      <c r="A32" s="1"/>
      <c r="B32" s="57"/>
      <c r="C32" s="58"/>
      <c r="D32" s="58"/>
      <c r="E32" s="58"/>
      <c r="F32" s="58"/>
      <c r="G32" s="58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17" t="s">
        <v>176</v>
      </c>
      <c r="C34" s="118"/>
      <c r="D34" s="118"/>
      <c r="E34" s="118"/>
      <c r="F34" s="118"/>
      <c r="G34" s="118"/>
      <c r="H34" s="119"/>
      <c r="I34" s="1"/>
    </row>
    <row r="35" spans="1:9" x14ac:dyDescent="0.45">
      <c r="A35" s="1"/>
      <c r="B35" s="114" t="s">
        <v>80</v>
      </c>
      <c r="C35" s="115"/>
      <c r="D35" s="115"/>
      <c r="E35" s="115"/>
      <c r="F35" s="116"/>
      <c r="G35" s="24">
        <f>(G29+G30-G31)*(1+'Fane 12. Nøgletal'!C13)</f>
        <v>5898795.7388883401</v>
      </c>
      <c r="H35" s="14" t="s">
        <v>3</v>
      </c>
      <c r="I35" s="1"/>
    </row>
    <row r="36" spans="1:9" x14ac:dyDescent="0.45">
      <c r="A36" s="1"/>
      <c r="B36" s="37" t="s">
        <v>192</v>
      </c>
      <c r="C36" s="63"/>
      <c r="D36" s="63"/>
      <c r="E36" s="63"/>
      <c r="F36" s="64"/>
      <c r="G36" s="9">
        <f>SUM('Fane 2.1. Økonomisk ramme 2022'!C10)*(1+'Fane 12. Nøgletal'!C14)</f>
        <v>0</v>
      </c>
      <c r="H36" s="14" t="s">
        <v>3</v>
      </c>
      <c r="I36" s="1"/>
    </row>
    <row r="37" spans="1:9" x14ac:dyDescent="0.45">
      <c r="A37" s="1"/>
      <c r="B37" s="114" t="s">
        <v>221</v>
      </c>
      <c r="C37" s="115"/>
      <c r="D37" s="115"/>
      <c r="E37" s="115"/>
      <c r="F37" s="116"/>
      <c r="G37" s="9">
        <f>SUM('Fane 2.1. Økonomisk ramme 2022'!C12,'Fane 2.1. Økonomisk ramme 2022'!C14,'Fane 2.1. Økonomisk ramme 2022'!C16)*(1+'Fane 12. Nøgletal'!C14)</f>
        <v>0</v>
      </c>
      <c r="H37" s="14" t="s">
        <v>3</v>
      </c>
      <c r="I37" s="1"/>
    </row>
    <row r="38" spans="1:9" x14ac:dyDescent="0.45">
      <c r="A38" s="1"/>
      <c r="B38" s="114" t="s">
        <v>177</v>
      </c>
      <c r="C38" s="115"/>
      <c r="D38" s="115"/>
      <c r="E38" s="115"/>
      <c r="F38" s="116"/>
      <c r="G38" s="24">
        <f>(G35+G37)*'Fane 12. Nøgletal'!C29</f>
        <v>117975.9147777668</v>
      </c>
      <c r="H38" s="14" t="s">
        <v>3</v>
      </c>
      <c r="I38" s="1"/>
    </row>
    <row r="39" spans="1:9" x14ac:dyDescent="0.45">
      <c r="A39" s="1"/>
      <c r="B39" s="57"/>
      <c r="C39" s="58"/>
      <c r="D39" s="58"/>
      <c r="E39" s="58"/>
      <c r="F39" s="58"/>
      <c r="G39" s="58"/>
      <c r="H39" s="20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17" t="s">
        <v>81</v>
      </c>
      <c r="C41" s="118"/>
      <c r="D41" s="118"/>
      <c r="E41" s="118"/>
      <c r="F41" s="118"/>
      <c r="G41" s="118"/>
      <c r="H41" s="119"/>
      <c r="I41" s="1"/>
    </row>
    <row r="42" spans="1:9" x14ac:dyDescent="0.45">
      <c r="A42" s="1"/>
      <c r="B42" s="114" t="s">
        <v>79</v>
      </c>
      <c r="C42" s="115"/>
      <c r="D42" s="115"/>
      <c r="E42" s="115"/>
      <c r="F42" s="116"/>
      <c r="G42" s="24">
        <f>(G35+G37-G38)*(1+'Fane 12. Nøgletal'!C14)</f>
        <v>5799896.5295301387</v>
      </c>
      <c r="H42" s="14" t="s">
        <v>3</v>
      </c>
      <c r="I42" s="1"/>
    </row>
    <row r="43" spans="1:9" x14ac:dyDescent="0.45">
      <c r="A43" s="1"/>
      <c r="B43" s="114" t="s">
        <v>92</v>
      </c>
      <c r="C43" s="115"/>
      <c r="D43" s="115"/>
      <c r="E43" s="115"/>
      <c r="F43" s="116"/>
      <c r="G43" s="9">
        <f>-'Fane 11. Bortfald'!C19*(1+'Fane 12. Nøgletal'!C14)</f>
        <v>0</v>
      </c>
      <c r="H43" s="14" t="s">
        <v>3</v>
      </c>
      <c r="I43" s="1"/>
    </row>
    <row r="44" spans="1:9" x14ac:dyDescent="0.45">
      <c r="A44" s="1"/>
      <c r="B44" s="114" t="s">
        <v>61</v>
      </c>
      <c r="C44" s="115"/>
      <c r="D44" s="115"/>
      <c r="E44" s="115"/>
      <c r="F44" s="116"/>
      <c r="G44" s="24">
        <f>(G42+G43)*'Fane 12. Nøgletal'!C29</f>
        <v>115997.93059060277</v>
      </c>
      <c r="H44" s="14" t="s">
        <v>3</v>
      </c>
      <c r="I44" s="1"/>
    </row>
    <row r="45" spans="1:9" x14ac:dyDescent="0.45">
      <c r="A45" s="1"/>
      <c r="B45" s="57"/>
      <c r="C45" s="58"/>
      <c r="D45" s="58"/>
      <c r="E45" s="58"/>
      <c r="F45" s="58"/>
      <c r="G45" s="58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17" t="s">
        <v>148</v>
      </c>
      <c r="C47" s="118"/>
      <c r="D47" s="118"/>
      <c r="E47" s="118"/>
      <c r="F47" s="118"/>
      <c r="G47" s="118"/>
      <c r="H47" s="119"/>
      <c r="I47" s="1"/>
    </row>
    <row r="48" spans="1:9" x14ac:dyDescent="0.45">
      <c r="A48" s="1"/>
      <c r="B48" s="114" t="s">
        <v>149</v>
      </c>
      <c r="C48" s="115"/>
      <c r="D48" s="115"/>
      <c r="E48" s="115"/>
      <c r="F48" s="116"/>
      <c r="G48" s="24">
        <f>(G42+G43-G44)*(1+'Fane 12. Nøgletal'!C14)</f>
        <v>5702655.4643160375</v>
      </c>
      <c r="H48" s="14" t="s">
        <v>3</v>
      </c>
      <c r="I48" s="1"/>
    </row>
    <row r="49" spans="1:9" x14ac:dyDescent="0.45">
      <c r="A49" s="1"/>
      <c r="B49" s="114" t="s">
        <v>150</v>
      </c>
      <c r="C49" s="115"/>
      <c r="D49" s="115"/>
      <c r="E49" s="115"/>
      <c r="F49" s="116"/>
      <c r="G49" s="9">
        <f>-'Fane 11. Bortfald'!C26*(1+'Fane 12. Nøgletal'!C14)</f>
        <v>0</v>
      </c>
      <c r="H49" s="14" t="s">
        <v>3</v>
      </c>
      <c r="I49" s="1"/>
    </row>
    <row r="50" spans="1:9" x14ac:dyDescent="0.45">
      <c r="A50" s="1"/>
      <c r="B50" s="114" t="s">
        <v>151</v>
      </c>
      <c r="C50" s="115"/>
      <c r="D50" s="115"/>
      <c r="E50" s="115"/>
      <c r="F50" s="116"/>
      <c r="G50" s="24">
        <f>(G48+G49)*'Fane 12. Nøgletal'!C29</f>
        <v>114053.10928632075</v>
      </c>
      <c r="H50" s="14" t="s">
        <v>3</v>
      </c>
      <c r="I50" s="1"/>
    </row>
    <row r="51" spans="1:9" x14ac:dyDescent="0.45">
      <c r="A51" s="1"/>
      <c r="B51" s="57"/>
      <c r="C51" s="58"/>
      <c r="D51" s="58"/>
      <c r="E51" s="58"/>
      <c r="F51" s="58"/>
      <c r="G51" s="58"/>
      <c r="H51" s="20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5">
      <c r="A53" s="1"/>
      <c r="B53" s="117" t="s">
        <v>198</v>
      </c>
      <c r="C53" s="118"/>
      <c r="D53" s="118"/>
      <c r="E53" s="118"/>
      <c r="F53" s="118"/>
      <c r="G53" s="118"/>
      <c r="H53" s="119"/>
      <c r="I53" s="1"/>
    </row>
    <row r="54" spans="1:9" x14ac:dyDescent="0.45">
      <c r="A54" s="1"/>
      <c r="B54" s="114" t="s">
        <v>199</v>
      </c>
      <c r="C54" s="115"/>
      <c r="D54" s="115"/>
      <c r="E54" s="115"/>
      <c r="F54" s="116"/>
      <c r="G54" s="24">
        <f>(G48+G49-G50)*(1+'Fane 12. Nøgletal'!C14)</f>
        <v>5607044.7428013152</v>
      </c>
      <c r="H54" s="14" t="s">
        <v>3</v>
      </c>
      <c r="I54" s="1"/>
    </row>
    <row r="55" spans="1:9" x14ac:dyDescent="0.45">
      <c r="A55" s="1"/>
      <c r="B55" s="114" t="s">
        <v>200</v>
      </c>
      <c r="C55" s="115"/>
      <c r="D55" s="115"/>
      <c r="E55" s="115"/>
      <c r="F55" s="116"/>
      <c r="G55" s="9">
        <f>-'Fane 11. Bortfald'!C33*(1+'Fane 12. Nøgletal'!C14)</f>
        <v>0</v>
      </c>
      <c r="H55" s="14" t="s">
        <v>3</v>
      </c>
      <c r="I55" s="1"/>
    </row>
    <row r="56" spans="1:9" x14ac:dyDescent="0.45">
      <c r="A56" s="1"/>
      <c r="B56" s="114" t="s">
        <v>201</v>
      </c>
      <c r="C56" s="115"/>
      <c r="D56" s="115"/>
      <c r="E56" s="115"/>
      <c r="F56" s="116"/>
      <c r="G56" s="24">
        <f>(G54+G55)*'Fane 12. Nøgletal'!C29</f>
        <v>112140.89485602631</v>
      </c>
      <c r="H56" s="14" t="s">
        <v>3</v>
      </c>
      <c r="I56" s="1"/>
    </row>
    <row r="57" spans="1:9" x14ac:dyDescent="0.45">
      <c r="A57" s="1"/>
      <c r="B57" s="57"/>
      <c r="C57" s="58"/>
      <c r="D57" s="58"/>
      <c r="E57" s="58"/>
      <c r="F57" s="58"/>
      <c r="G57" s="58"/>
      <c r="H57" s="20"/>
      <c r="I57" s="1"/>
    </row>
  </sheetData>
  <sheetProtection algorithmName="SHA-512" hashValue="xXVaZ6QGor5zYidMfwKzMvrD78bMb0GC6sjCC39BnPMAouNZuUWIIMWbi/5Ad6MnaOaEOCCdFFXVOmfsLg12XA==" saltValue="ZoMSenSKYVqN15AMzUObcw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61"/>
  <sheetViews>
    <sheetView showGridLines="0" view="pageLayout" zoomScaleNormal="12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9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23" t="s">
        <v>116</v>
      </c>
      <c r="C1" s="124"/>
      <c r="D1" s="124"/>
      <c r="E1" s="124"/>
      <c r="F1" s="124"/>
      <c r="G1" s="124"/>
      <c r="H1" s="124"/>
      <c r="I1" s="1"/>
    </row>
    <row r="2" spans="1:9" ht="19.899999999999999" customHeight="1" x14ac:dyDescent="0.45">
      <c r="A2" s="1"/>
      <c r="B2" s="124"/>
      <c r="C2" s="124"/>
      <c r="D2" s="124"/>
      <c r="E2" s="124"/>
      <c r="F2" s="124"/>
      <c r="G2" s="124"/>
      <c r="H2" s="124"/>
      <c r="I2" s="1"/>
    </row>
    <row r="3" spans="1:9" ht="15" customHeight="1" x14ac:dyDescent="0.45">
      <c r="A3" s="1"/>
      <c r="B3" s="125"/>
      <c r="C3" s="125"/>
      <c r="D3" s="125"/>
      <c r="E3" s="125"/>
      <c r="F3" s="125"/>
      <c r="G3" s="125"/>
      <c r="H3" s="125"/>
      <c r="I3" s="1"/>
    </row>
    <row r="4" spans="1:9" x14ac:dyDescent="0.45">
      <c r="A4" s="1"/>
      <c r="B4" s="117" t="s">
        <v>58</v>
      </c>
      <c r="C4" s="118"/>
      <c r="D4" s="118"/>
      <c r="E4" s="118"/>
      <c r="F4" s="118"/>
      <c r="G4" s="118"/>
      <c r="H4" s="119"/>
      <c r="I4" s="1"/>
    </row>
    <row r="5" spans="1:9" x14ac:dyDescent="0.45">
      <c r="A5" s="1"/>
      <c r="B5" s="114" t="s">
        <v>62</v>
      </c>
      <c r="C5" s="115"/>
      <c r="D5" s="115"/>
      <c r="E5" s="115"/>
      <c r="F5" s="116"/>
      <c r="G5" s="24">
        <v>3664696.0084895384</v>
      </c>
      <c r="H5" s="14" t="s">
        <v>3</v>
      </c>
      <c r="I5" s="1"/>
    </row>
    <row r="6" spans="1:9" x14ac:dyDescent="0.45">
      <c r="A6" s="1"/>
      <c r="B6" s="114" t="s">
        <v>59</v>
      </c>
      <c r="C6" s="115"/>
      <c r="D6" s="115"/>
      <c r="E6" s="115"/>
      <c r="F6" s="116"/>
      <c r="G6" s="24">
        <f>G5*'Fane 12. Nøgletal'!C19</f>
        <v>33348.733677254801</v>
      </c>
      <c r="H6" s="14" t="s">
        <v>3</v>
      </c>
      <c r="I6" s="1"/>
    </row>
    <row r="7" spans="1:9" x14ac:dyDescent="0.45">
      <c r="A7" s="1"/>
      <c r="B7" s="57"/>
      <c r="C7" s="58"/>
      <c r="D7" s="58"/>
      <c r="E7" s="58"/>
      <c r="F7" s="58"/>
      <c r="G7" s="58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117" t="s">
        <v>63</v>
      </c>
      <c r="C9" s="118"/>
      <c r="D9" s="118"/>
      <c r="E9" s="118"/>
      <c r="F9" s="118"/>
      <c r="G9" s="118"/>
      <c r="H9" s="119"/>
      <c r="I9" s="1"/>
    </row>
    <row r="10" spans="1:9" x14ac:dyDescent="0.45">
      <c r="A10" s="1"/>
      <c r="B10" s="114" t="s">
        <v>64</v>
      </c>
      <c r="C10" s="115"/>
      <c r="D10" s="115"/>
      <c r="E10" s="115"/>
      <c r="F10" s="116"/>
      <c r="G10" s="24">
        <f>(G5-G6)*(1+'Fane 12. Nøgletal'!C9)</f>
        <v>3677465.385202399</v>
      </c>
      <c r="H10" s="14" t="s">
        <v>3</v>
      </c>
      <c r="I10" s="1"/>
    </row>
    <row r="11" spans="1:9" x14ac:dyDescent="0.45">
      <c r="A11" s="1"/>
      <c r="B11" s="120" t="s">
        <v>65</v>
      </c>
      <c r="C11" s="121"/>
      <c r="D11" s="121"/>
      <c r="E11" s="121"/>
      <c r="F11" s="122"/>
      <c r="G11" s="9">
        <v>0</v>
      </c>
      <c r="H11" s="14" t="s">
        <v>3</v>
      </c>
      <c r="I11" s="1"/>
    </row>
    <row r="12" spans="1:9" x14ac:dyDescent="0.45">
      <c r="A12" s="1"/>
      <c r="B12" s="114" t="s">
        <v>66</v>
      </c>
      <c r="C12" s="115"/>
      <c r="D12" s="115"/>
      <c r="E12" s="115"/>
      <c r="F12" s="116"/>
      <c r="G12" s="24">
        <f>G10*'Fane 12. Nøgletal'!C19+G11*'Fane 12. Nøgletal'!C20</f>
        <v>33464.935005341831</v>
      </c>
      <c r="H12" s="14" t="s">
        <v>3</v>
      </c>
      <c r="I12" s="1"/>
    </row>
    <row r="13" spans="1:9" x14ac:dyDescent="0.45">
      <c r="A13" s="1"/>
      <c r="B13" s="57"/>
      <c r="C13" s="58"/>
      <c r="D13" s="58"/>
      <c r="E13" s="58"/>
      <c r="F13" s="58"/>
      <c r="G13" s="58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17" t="s">
        <v>67</v>
      </c>
      <c r="C15" s="118"/>
      <c r="D15" s="118"/>
      <c r="E15" s="118"/>
      <c r="F15" s="118"/>
      <c r="G15" s="118"/>
      <c r="H15" s="119"/>
      <c r="I15" s="1"/>
    </row>
    <row r="16" spans="1:9" x14ac:dyDescent="0.45">
      <c r="A16" s="1"/>
      <c r="B16" s="114" t="s">
        <v>68</v>
      </c>
      <c r="C16" s="115"/>
      <c r="D16" s="115"/>
      <c r="E16" s="115"/>
      <c r="F16" s="116"/>
      <c r="G16" s="24">
        <f>(G10+G11-G12)*(1+'Fane 12. Nøgletal'!C11)</f>
        <v>3705584.0578053873</v>
      </c>
      <c r="H16" s="14" t="s">
        <v>3</v>
      </c>
      <c r="I16" s="1"/>
    </row>
    <row r="17" spans="1:9" x14ac:dyDescent="0.45">
      <c r="A17" s="1"/>
      <c r="B17" s="114" t="s">
        <v>126</v>
      </c>
      <c r="C17" s="115"/>
      <c r="D17" s="115"/>
      <c r="E17" s="115"/>
      <c r="F17" s="116"/>
      <c r="G17" s="24">
        <v>146406.42389635605</v>
      </c>
      <c r="H17" s="14" t="s">
        <v>3</v>
      </c>
      <c r="I17" s="1"/>
    </row>
    <row r="18" spans="1:9" x14ac:dyDescent="0.45">
      <c r="A18" s="1"/>
      <c r="B18" s="120" t="s">
        <v>69</v>
      </c>
      <c r="C18" s="121"/>
      <c r="D18" s="121"/>
      <c r="E18" s="121"/>
      <c r="F18" s="122"/>
      <c r="G18" s="9">
        <v>0</v>
      </c>
      <c r="H18" s="14" t="s">
        <v>3</v>
      </c>
      <c r="I18" s="1"/>
    </row>
    <row r="19" spans="1:9" x14ac:dyDescent="0.45">
      <c r="A19" s="1"/>
      <c r="B19" s="114" t="s">
        <v>70</v>
      </c>
      <c r="C19" s="115"/>
      <c r="D19" s="115"/>
      <c r="E19" s="115"/>
      <c r="F19" s="116"/>
      <c r="G19" s="24">
        <f>(G16+G17+G18)*'Fane 12. Nøgletal'!C21</f>
        <v>33512.317190805166</v>
      </c>
      <c r="H19" s="14" t="s">
        <v>3</v>
      </c>
      <c r="I19" s="1"/>
    </row>
    <row r="20" spans="1:9" x14ac:dyDescent="0.45">
      <c r="A20" s="1"/>
      <c r="B20" s="57"/>
      <c r="C20" s="58"/>
      <c r="D20" s="58"/>
      <c r="E20" s="58"/>
      <c r="F20" s="58"/>
      <c r="G20" s="58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17" t="s">
        <v>71</v>
      </c>
      <c r="C22" s="118"/>
      <c r="D22" s="118"/>
      <c r="E22" s="118"/>
      <c r="F22" s="118"/>
      <c r="G22" s="118"/>
      <c r="H22" s="119"/>
      <c r="I22" s="1"/>
    </row>
    <row r="23" spans="1:9" x14ac:dyDescent="0.45">
      <c r="A23" s="1"/>
      <c r="B23" s="114" t="s">
        <v>72</v>
      </c>
      <c r="C23" s="115"/>
      <c r="D23" s="115"/>
      <c r="E23" s="115"/>
      <c r="F23" s="116"/>
      <c r="G23" s="24">
        <f>(SUM(G16:G18)-G19)*(1+'Fane 12. Nøgletal'!C11)</f>
        <v>3883010.4454911728</v>
      </c>
      <c r="H23" s="14" t="s">
        <v>3</v>
      </c>
      <c r="I23" s="1"/>
    </row>
    <row r="24" spans="1:9" x14ac:dyDescent="0.45">
      <c r="A24" s="1"/>
      <c r="B24" s="120" t="s">
        <v>73</v>
      </c>
      <c r="C24" s="121"/>
      <c r="D24" s="121"/>
      <c r="E24" s="121"/>
      <c r="F24" s="122"/>
      <c r="G24" s="24">
        <v>114278.325946686</v>
      </c>
      <c r="H24" s="14" t="s">
        <v>3</v>
      </c>
      <c r="I24" s="1"/>
    </row>
    <row r="25" spans="1:9" x14ac:dyDescent="0.45">
      <c r="A25" s="1"/>
      <c r="B25" s="114" t="s">
        <v>74</v>
      </c>
      <c r="C25" s="115"/>
      <c r="D25" s="115"/>
      <c r="E25" s="115"/>
      <c r="F25" s="116"/>
      <c r="G25" s="24">
        <f>G23*'Fane 12. Nøgletal'!C21+G24*'Fane 12. Nøgletal'!C22</f>
        <v>37027.695332659081</v>
      </c>
      <c r="H25" s="14" t="s">
        <v>3</v>
      </c>
      <c r="I25" s="1"/>
    </row>
    <row r="26" spans="1:9" x14ac:dyDescent="0.45">
      <c r="A26" s="1"/>
      <c r="B26" s="57"/>
      <c r="C26" s="58"/>
      <c r="D26" s="58"/>
      <c r="E26" s="58"/>
      <c r="F26" s="58"/>
      <c r="G26" s="58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17" t="s">
        <v>173</v>
      </c>
      <c r="C28" s="118"/>
      <c r="D28" s="118"/>
      <c r="E28" s="118"/>
      <c r="F28" s="118"/>
      <c r="G28" s="118"/>
      <c r="H28" s="119"/>
      <c r="I28" s="1"/>
    </row>
    <row r="29" spans="1:9" x14ac:dyDescent="0.45">
      <c r="A29" s="1"/>
      <c r="B29" s="114" t="s">
        <v>75</v>
      </c>
      <c r="C29" s="115"/>
      <c r="D29" s="115"/>
      <c r="E29" s="115"/>
      <c r="F29" s="116"/>
      <c r="G29" s="24">
        <f>(G23+G24-G25)*(1+'Fane 12. Nøgletal'!C13)</f>
        <v>4008576.2612336832</v>
      </c>
      <c r="H29" s="14" t="s">
        <v>3</v>
      </c>
      <c r="I29" s="1"/>
    </row>
    <row r="30" spans="1:9" x14ac:dyDescent="0.45">
      <c r="A30" s="1"/>
      <c r="B30" s="114" t="s">
        <v>152</v>
      </c>
      <c r="C30" s="115"/>
      <c r="D30" s="115"/>
      <c r="E30" s="115"/>
      <c r="F30" s="116"/>
      <c r="G30" s="24">
        <v>42502.384078560004</v>
      </c>
      <c r="H30" s="14" t="s">
        <v>3</v>
      </c>
      <c r="I30" s="1"/>
    </row>
    <row r="31" spans="1:9" x14ac:dyDescent="0.45">
      <c r="A31" s="1"/>
      <c r="B31" s="114" t="s">
        <v>174</v>
      </c>
      <c r="C31" s="115"/>
      <c r="D31" s="115"/>
      <c r="E31" s="115"/>
      <c r="F31" s="116"/>
      <c r="G31" s="24">
        <f>(G29+G30)*'Fane 12. Nøgletal'!C23</f>
        <v>111404.66274608669</v>
      </c>
      <c r="H31" s="14" t="s">
        <v>3</v>
      </c>
      <c r="I31" s="1"/>
    </row>
    <row r="32" spans="1:9" x14ac:dyDescent="0.45">
      <c r="A32" s="1"/>
      <c r="B32" s="57"/>
      <c r="C32" s="58"/>
      <c r="D32" s="58"/>
      <c r="E32" s="58"/>
      <c r="F32" s="58"/>
      <c r="G32" s="58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17" t="s">
        <v>178</v>
      </c>
      <c r="C34" s="118"/>
      <c r="D34" s="118"/>
      <c r="E34" s="118"/>
      <c r="F34" s="118"/>
      <c r="G34" s="118"/>
      <c r="H34" s="119"/>
      <c r="I34" s="1"/>
    </row>
    <row r="35" spans="1:9" x14ac:dyDescent="0.45">
      <c r="A35" s="1"/>
      <c r="B35" s="114" t="s">
        <v>78</v>
      </c>
      <c r="C35" s="115"/>
      <c r="D35" s="115"/>
      <c r="E35" s="115"/>
      <c r="F35" s="116"/>
      <c r="G35" s="24">
        <f>(G29+G30-G31)*(1+'Fane 12. Nøgletal'!C13)</f>
        <v>3987738.0051534637</v>
      </c>
      <c r="H35" s="14" t="s">
        <v>3</v>
      </c>
      <c r="I35" s="1"/>
    </row>
    <row r="36" spans="1:9" s="41" customFormat="1" x14ac:dyDescent="0.4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41469.969292503723</v>
      </c>
      <c r="H36" s="14" t="s">
        <v>3</v>
      </c>
      <c r="I36" s="38"/>
    </row>
    <row r="37" spans="1:9" x14ac:dyDescent="0.45">
      <c r="A37" s="1"/>
      <c r="B37" s="114" t="s">
        <v>193</v>
      </c>
      <c r="C37" s="115"/>
      <c r="D37" s="115"/>
      <c r="E37" s="115"/>
      <c r="F37" s="116"/>
      <c r="G37" s="9">
        <f>SUM('Fane 2.1. Økonomisk ramme 2022'!C13,'Fane 2.1. Økonomisk ramme 2022'!C15,'Fane 2.1. Økonomisk ramme 2022'!C17)*(1+'Fane 12. Nøgletal'!C14)</f>
        <v>0</v>
      </c>
      <c r="H37" s="14" t="s">
        <v>3</v>
      </c>
      <c r="I37" s="1"/>
    </row>
    <row r="38" spans="1:9" x14ac:dyDescent="0.45">
      <c r="A38" s="1"/>
      <c r="B38" s="114" t="s">
        <v>179</v>
      </c>
      <c r="C38" s="115"/>
      <c r="D38" s="115"/>
      <c r="E38" s="115"/>
      <c r="F38" s="116"/>
      <c r="G38" s="24">
        <f>G35*'Fane 12. Nøgletal'!C23+G37*'Fane 12. Nøgletal'!C24</f>
        <v>109662.79514172026</v>
      </c>
      <c r="H38" s="14" t="s">
        <v>3</v>
      </c>
      <c r="I38" s="1"/>
    </row>
    <row r="39" spans="1:9" x14ac:dyDescent="0.45">
      <c r="A39" s="1"/>
      <c r="B39" s="57"/>
      <c r="C39" s="58"/>
      <c r="D39" s="58"/>
      <c r="E39" s="58"/>
      <c r="F39" s="58"/>
      <c r="G39" s="58"/>
      <c r="H39" s="20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17" t="s">
        <v>82</v>
      </c>
      <c r="C41" s="118"/>
      <c r="D41" s="118"/>
      <c r="E41" s="118"/>
      <c r="F41" s="118"/>
      <c r="G41" s="118"/>
      <c r="H41" s="119"/>
      <c r="I41" s="1"/>
    </row>
    <row r="42" spans="1:9" x14ac:dyDescent="0.45">
      <c r="A42" s="1"/>
      <c r="B42" s="114" t="s">
        <v>77</v>
      </c>
      <c r="C42" s="115"/>
      <c r="D42" s="115"/>
      <c r="E42" s="115"/>
      <c r="F42" s="116"/>
      <c r="G42" s="24">
        <f>(G35+G37-G38)*(1+'Fane 12. Nøgletal'!C14)</f>
        <v>3890872.8582047825</v>
      </c>
      <c r="H42" s="14" t="s">
        <v>3</v>
      </c>
      <c r="I42" s="1"/>
    </row>
    <row r="43" spans="1:9" x14ac:dyDescent="0.45">
      <c r="A43" s="1"/>
      <c r="B43" s="114" t="s">
        <v>96</v>
      </c>
      <c r="C43" s="115"/>
      <c r="D43" s="115"/>
      <c r="E43" s="115"/>
      <c r="F43" s="116"/>
      <c r="G43" s="9">
        <f>-'Fane 11. Bortfald'!E19*(1+'Fane 12. Nøgletal'!C14)</f>
        <v>0</v>
      </c>
      <c r="H43" s="14" t="s">
        <v>3</v>
      </c>
      <c r="I43" s="1"/>
    </row>
    <row r="44" spans="1:9" x14ac:dyDescent="0.45">
      <c r="A44" s="1"/>
      <c r="B44" s="114" t="s">
        <v>76</v>
      </c>
      <c r="C44" s="115"/>
      <c r="D44" s="115"/>
      <c r="E44" s="115"/>
      <c r="F44" s="116"/>
      <c r="G44" s="24">
        <f>(G42+G43)*'Fane 12. Nøgletal'!C24</f>
        <v>57584.918301430786</v>
      </c>
      <c r="H44" s="14" t="s">
        <v>3</v>
      </c>
      <c r="I44" s="1"/>
    </row>
    <row r="45" spans="1:9" x14ac:dyDescent="0.45">
      <c r="A45" s="1"/>
      <c r="B45" s="57"/>
      <c r="C45" s="58"/>
      <c r="D45" s="58"/>
      <c r="E45" s="58"/>
      <c r="F45" s="58"/>
      <c r="G45" s="58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17" t="s">
        <v>153</v>
      </c>
      <c r="C51" s="118"/>
      <c r="D51" s="118"/>
      <c r="E51" s="118"/>
      <c r="F51" s="118"/>
      <c r="G51" s="118"/>
      <c r="H51" s="119"/>
      <c r="I51" s="1"/>
    </row>
    <row r="52" spans="1:9" x14ac:dyDescent="0.45">
      <c r="A52" s="1"/>
      <c r="B52" s="114" t="s">
        <v>154</v>
      </c>
      <c r="C52" s="115"/>
      <c r="D52" s="115"/>
      <c r="E52" s="115"/>
      <c r="F52" s="116"/>
      <c r="G52" s="24">
        <f>(G42+G43-G44)*(1+'Fane 12. Nøgletal'!C14)</f>
        <v>3845937.7901050327</v>
      </c>
      <c r="H52" s="14" t="s">
        <v>3</v>
      </c>
      <c r="I52" s="1"/>
    </row>
    <row r="53" spans="1:9" x14ac:dyDescent="0.45">
      <c r="A53" s="1"/>
      <c r="B53" s="114" t="s">
        <v>155</v>
      </c>
      <c r="C53" s="115"/>
      <c r="D53" s="115"/>
      <c r="E53" s="115"/>
      <c r="F53" s="116"/>
      <c r="G53" s="9">
        <f>-'Fane 11. Bortfald'!E26*(1+'Fane 12. Nøgletal'!C13)</f>
        <v>0</v>
      </c>
      <c r="H53" s="14" t="s">
        <v>3</v>
      </c>
      <c r="I53" s="1"/>
    </row>
    <row r="54" spans="1:9" x14ac:dyDescent="0.45">
      <c r="A54" s="1"/>
      <c r="B54" s="114" t="s">
        <v>156</v>
      </c>
      <c r="C54" s="115"/>
      <c r="D54" s="115"/>
      <c r="E54" s="115"/>
      <c r="F54" s="116"/>
      <c r="G54" s="24">
        <f>(G52+G53)*'Fane 12. Nøgletal'!C24</f>
        <v>56919.879293554484</v>
      </c>
      <c r="H54" s="14" t="s">
        <v>3</v>
      </c>
      <c r="I54" s="1"/>
    </row>
    <row r="55" spans="1:9" x14ac:dyDescent="0.45">
      <c r="A55" s="1"/>
      <c r="B55" s="57"/>
      <c r="C55" s="58"/>
      <c r="D55" s="58"/>
      <c r="E55" s="58"/>
      <c r="F55" s="58"/>
      <c r="G55" s="58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5">
      <c r="A57" s="1"/>
      <c r="B57" s="117" t="s">
        <v>194</v>
      </c>
      <c r="C57" s="118"/>
      <c r="D57" s="118"/>
      <c r="E57" s="118"/>
      <c r="F57" s="118"/>
      <c r="G57" s="118"/>
      <c r="H57" s="119"/>
      <c r="I57" s="1"/>
    </row>
    <row r="58" spans="1:9" x14ac:dyDescent="0.45">
      <c r="A58" s="1"/>
      <c r="B58" s="114" t="s">
        <v>195</v>
      </c>
      <c r="C58" s="115"/>
      <c r="D58" s="115"/>
      <c r="E58" s="115"/>
      <c r="F58" s="116"/>
      <c r="G58" s="24">
        <f>(G52+G53-G54)*(1+'Fane 12. Nøgletal'!C14)</f>
        <v>3801521.6699171565</v>
      </c>
      <c r="H58" s="14" t="s">
        <v>3</v>
      </c>
      <c r="I58" s="1"/>
    </row>
    <row r="59" spans="1:9" x14ac:dyDescent="0.45">
      <c r="A59" s="1"/>
      <c r="B59" s="114" t="s">
        <v>196</v>
      </c>
      <c r="C59" s="115"/>
      <c r="D59" s="115"/>
      <c r="E59" s="115"/>
      <c r="F59" s="116"/>
      <c r="G59" s="9">
        <f>-'Fane 11. Bortfald'!E33*(1+'Fane 12. Nøgletal'!C14)</f>
        <v>0</v>
      </c>
      <c r="H59" s="14" t="s">
        <v>3</v>
      </c>
      <c r="I59" s="1"/>
    </row>
    <row r="60" spans="1:9" x14ac:dyDescent="0.45">
      <c r="A60" s="1"/>
      <c r="B60" s="114" t="s">
        <v>197</v>
      </c>
      <c r="C60" s="115"/>
      <c r="D60" s="115"/>
      <c r="E60" s="115"/>
      <c r="F60" s="116"/>
      <c r="G60" s="24">
        <f>(G58+G59)*'Fane 12. Nøgletal'!C24</f>
        <v>56262.52071477392</v>
      </c>
      <c r="H60" s="14" t="s">
        <v>3</v>
      </c>
      <c r="I60" s="1"/>
    </row>
    <row r="61" spans="1:9" x14ac:dyDescent="0.45">
      <c r="A61" s="1"/>
      <c r="B61" s="57"/>
      <c r="C61" s="58"/>
      <c r="D61" s="58"/>
      <c r="E61" s="58"/>
      <c r="F61" s="58"/>
      <c r="G61" s="58"/>
      <c r="H61" s="20"/>
      <c r="I61" s="1"/>
    </row>
  </sheetData>
  <sheetProtection algorithmName="SHA-512" hashValue="yntvTcnbKribI7e8UBiGibrNEThKAc6xUC87YfS934o8FYzA/CL+/3M8VFGhsmgerp1l0VNgV43ls49xsSGChg==" saltValue="dDt63OcYFcRKG7gSQynSxw==" spinCount="100000" sheet="1" objects="1" scenarios="1"/>
  <mergeCells count="37"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57:H57"/>
    <mergeCell ref="B58:F58"/>
    <mergeCell ref="B59:F59"/>
    <mergeCell ref="B60:F60"/>
    <mergeCell ref="B35:F35"/>
    <mergeCell ref="B44:F44"/>
    <mergeCell ref="B31:F31"/>
    <mergeCell ref="B34:H34"/>
    <mergeCell ref="B22:H22"/>
    <mergeCell ref="B23:F23"/>
    <mergeCell ref="B24:F24"/>
    <mergeCell ref="B25:F25"/>
    <mergeCell ref="B1:H3"/>
    <mergeCell ref="B52:F52"/>
    <mergeCell ref="B53:F53"/>
    <mergeCell ref="B54:F54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51:H51"/>
    <mergeCell ref="B28:H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91" t="s">
        <v>91</v>
      </c>
      <c r="C3" s="91"/>
      <c r="D3" s="91"/>
      <c r="E3" s="91"/>
      <c r="F3" s="91"/>
      <c r="G3" s="91"/>
      <c r="H3" s="91"/>
      <c r="I3" s="1"/>
    </row>
    <row r="4" spans="1:9" ht="15" customHeight="1" x14ac:dyDescent="0.4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17" t="s">
        <v>9</v>
      </c>
      <c r="C8" s="118"/>
      <c r="D8" s="118"/>
      <c r="E8" s="118"/>
      <c r="F8" s="118"/>
      <c r="G8" s="118"/>
      <c r="H8" s="119"/>
      <c r="I8" s="1"/>
    </row>
    <row r="9" spans="1:9" x14ac:dyDescent="0.45">
      <c r="A9" s="1"/>
      <c r="B9" s="114" t="s">
        <v>105</v>
      </c>
      <c r="C9" s="115"/>
      <c r="D9" s="115"/>
      <c r="E9" s="115"/>
      <c r="F9" s="116"/>
      <c r="G9" s="44">
        <v>0</v>
      </c>
      <c r="H9" s="14"/>
      <c r="I9" s="1"/>
    </row>
    <row r="10" spans="1:9" x14ac:dyDescent="0.45">
      <c r="A10" s="1"/>
      <c r="B10" s="114" t="s">
        <v>141</v>
      </c>
      <c r="C10" s="115"/>
      <c r="D10" s="115"/>
      <c r="E10" s="115"/>
      <c r="F10" s="116"/>
      <c r="G10" s="44">
        <v>0</v>
      </c>
      <c r="H10" s="14"/>
      <c r="I10" s="1"/>
    </row>
    <row r="11" spans="1:9" x14ac:dyDescent="0.45">
      <c r="A11" s="1"/>
      <c r="B11" s="57"/>
      <c r="C11" s="58"/>
      <c r="D11" s="58"/>
      <c r="E11" s="58"/>
      <c r="F11" s="58"/>
      <c r="G11" s="58"/>
      <c r="H11" s="20"/>
      <c r="I11" s="1"/>
    </row>
    <row r="12" spans="1:9" ht="14.25" customHeight="1" x14ac:dyDescent="0.45">
      <c r="A12" s="1"/>
      <c r="B12" s="126" t="s">
        <v>191</v>
      </c>
      <c r="C12" s="127"/>
      <c r="D12" s="127"/>
      <c r="E12" s="127"/>
      <c r="F12" s="127"/>
      <c r="G12" s="127"/>
      <c r="H12" s="128"/>
      <c r="I12" s="1"/>
    </row>
    <row r="13" spans="1:9" ht="12.75" customHeight="1" x14ac:dyDescent="0.45">
      <c r="A13" s="18"/>
      <c r="B13" s="129"/>
      <c r="C13" s="130"/>
      <c r="D13" s="130"/>
      <c r="E13" s="130"/>
      <c r="F13" s="130"/>
      <c r="G13" s="130"/>
      <c r="H13" s="131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3rDPRhMPMtlbzZtCqtajs5F7eio1U5pZpGwn6wEi4BIYPJvmoVPc2gk9HlP0emdNSOBKYrzTsLXF18vGKbVZow==" saltValue="eJ1mXc3EX8Ap83NDRaZhUg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2021-09-08T21:15:37Z</dcterms:modified>
</cp:coreProperties>
</file>