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K-Vand AS (V137)\ØR2022\"/>
    </mc:Choice>
  </mc:AlternateContent>
  <xr:revisionPtr revIDLastSave="0" documentId="13_ncr:1_{05412F5F-290D-4336-8F94-82F3F7299503}" xr6:coauthVersionLast="36" xr6:coauthVersionMax="36" xr10:uidLastSave="{00000000-0000-0000-0000-000000000000}"/>
  <bookViews>
    <workbookView xWindow="3105" yWindow="990" windowWidth="12735" windowHeight="4620" tabRatio="872" xr2:uid="{00000000-000D-0000-FFFF-FFFF00000000}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91029"/>
</workbook>
</file>

<file path=xl/calcChain.xml><?xml version="1.0" encoding="utf-8"?>
<calcChain xmlns="http://schemas.openxmlformats.org/spreadsheetml/2006/main">
  <c r="C14" i="19" l="1"/>
  <c r="C15" i="19" l="1"/>
  <c r="E12" i="32" l="1"/>
  <c r="E26" i="32" l="1"/>
  <c r="E30" i="32" l="1"/>
  <c r="C30" i="2" s="1"/>
  <c r="E35" i="32"/>
  <c r="E37" i="32" s="1"/>
  <c r="C23" i="23" l="1"/>
  <c r="C24" i="15"/>
  <c r="C23" i="22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<sst xmlns="http://schemas.openxmlformats.org/spreadsheetml/2006/main" count="625" uniqueCount="257">
  <si>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</si>
  <si>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</si>
  <si>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</si>
  <si>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</si>
  <si>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</si>
  <si>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</si>
  <si>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</si>
  <si>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</si>
  <si>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</si>
  <si>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</si>
  <si>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</si>
  <si>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</si>
  <si>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</si>
  <si>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</si>
  <si>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</si>
  <si>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</si>
  <si>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</si>
  <si>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</si>
  <si>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</si>
  <si>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</si>
  <si>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</si>
  <si>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</si>
  <si>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</si>
  <si>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</si>
  <si>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</si>
  <si>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</si>
  <si>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</si>
  <si>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</si>
  <si>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</si>
  <si>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</si>
  <si>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</si>
  <si>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</si>
  <si>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</si>
  <si>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</si>
  <si>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</si>
  <si>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</si>
  <si>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</si>
  <si>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</si>
  <si>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</si>
  <si>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</si>
  <si>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</si>
  <si>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</si>
  <si>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</si>
  <si>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</si>
  <si>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</si>
  <si>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</si>
  <si>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</si>
  <si>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</si>
  <si>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</si>
  <si>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</si>
  <si>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</si>
  <si>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</si>
  <si>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</si>
  <si>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</si>
  <si>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</si>
  <si>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</si>
  <si>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</si>
  <si>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</si>
  <si>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</si>
  <si>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</si>
  <si>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</si>
  <si>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</si>
  <si>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</si>
  <si>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</si>
  <si>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</si>
  <si>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</si>
  <si>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</si>
  <si>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</si>
  <si>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</si>
  <si>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</si>
  <si>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</si>
  <si>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</si>
  <si>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</si>
  <si>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</si>
  <si>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</si>
  <si>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</si>
  <si>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</si>
  <si>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</si>
  <si>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</si>
  <si>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</si>
  <si>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</si>
  <si>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</si>
  <si>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</si>
  <si>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</si>
  <si>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</si>
  <si>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</si>
  <si>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</si>
  <si>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</si>
  <si>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</si>
  <si>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</si>
  <si>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</si>
  <si>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</si>
  <si>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</si>
  <si>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</si>
  <si>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</si>
  <si>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</si>
  <si>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</si>
  <si>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</si>
  <si>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</si>
  <si>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</si>
  <si>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</si>
  <si>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</si>
  <si>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</si>
  <si>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</si>
  <si>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</si>
  <si>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</si>
  <si>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</si>
  <si>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</si>
  <si>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</si>
  <si>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</si>
  <si>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</si>
  <si>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</si>
  <si>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</si>
  <si>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</si>
  <si>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</si>
  <si>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</si>
  <si>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</si>
  <si>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</si>
  <si>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</si>
  <si>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</si>
  <si>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</si>
  <si>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</si>
  <si>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</si>
  <si>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</si>
  <si>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</si>
  <si>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</si>
  <si>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</si>
  <si>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</si>
  <si>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</si>
  <si>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</si>
  <si>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</si>
  <si>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</si>
  <si>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</si>
  <si>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</si>
  <si>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</si>
  <si>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</si>
  <si>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</si>
  <si>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</si>
  <si>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</si>
  <si>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</si>
  <si>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</si>
  <si>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</si>
  <si>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</si>
  <si>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</si>
  <si>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</si>
  <si>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</si>
  <si>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</si>
  <si>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</si>
  <si>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</si>
  <si>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</si>
  <si>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</si>
  <si>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</si>
  <si>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</si>
  <si>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</si>
  <si>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</si>
  <si>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</si>
  <si>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</si>
  <si>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</si>
  <si>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</si>
  <si>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</si>
  <si>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</si>
  <si>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</si>
  <si>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</si>
  <si>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</si>
  <si>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</si>
  <si>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</si>
  <si>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</si>
  <si>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</si>
  <si>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</si>
  <si>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</si>
  <si>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</si>
  <si>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</si>
  <si>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</si>
  <si>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</si>
  <si>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</si>
  <si>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</si>
  <si>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</si>
  <si>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</si>
  <si>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</si>
  <si>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</si>
  <si>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</si>
  <si>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</si>
  <si>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</si>
  <si>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</si>
  <si>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</si>
  <si>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</si>
  <si>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</si>
  <si>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</si>
  <si>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</si>
  <si>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</si>
  <si>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</si>
  <si>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</si>
  <si>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</si>
  <si>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</si>
  <si>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</si>
  <si>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</si>
  <si>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</si>
  <si>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</si>
  <si>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</si>
  <si>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</si>
  <si>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</si>
  <si>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</si>
  <si>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</si>
  <si>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</si>
  <si>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</si>
  <si>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</si>
  <si>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</si>
  <si>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</si>
  <si>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</si>
  <si>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</si>
  <si>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</si>
  <si>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</si>
  <si>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</si>
  <si>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</si>
  <si>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</si>
  <si>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</si>
  <si>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</si>
  <si>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</si>
  <si>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</si>
  <si>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</si>
  <si>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</si>
  <si>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</si>
  <si>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</si>
  <si>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</si>
  <si>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</si>
  <si>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</si>
  <si>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</si>
  <si>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Udvidelse af forsyningsområde</t>
  </si>
  <si>
    <t>Bane Danmarks Femern Bælt-projekt</t>
  </si>
  <si>
    <t>Ingen tilknyttet virksomhed</t>
  </si>
  <si>
    <t>Afgift for ledningsført vand</t>
  </si>
  <si>
    <t>Afgift til Forsyningssekretariatet</t>
  </si>
  <si>
    <t>Ejendomsskat</t>
  </si>
  <si>
    <t>Erstatninger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</si>
  <si>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</si>
  <si>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</si>
  <si>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</si>
  <si>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</si>
  <si>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</si>
  <si>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</si>
  <si>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</si>
  <si>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</si>
  <si>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</si>
  <si>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</si>
  <si>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</si>
  <si>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</si>
  <si>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</si>
  <si>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</si>
  <si>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Sikring af boringer, monitorering og sektionering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</si>
  <si>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</si>
  <si>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</si>
  <si>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</si>
  <si>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</si>
  <si>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</si>
  <si>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</si>
  <si>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</si>
  <si>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Force majeure som følge af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</si>
</sst>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wrapText="1"/>
    </xf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</cellXfs>
  <cellStyles count="5">
    <cellStyle name="Komma" xfId="1" builtinId="3"/>
    <cellStyle name="Link" xfId="2" builtinId="8"/>
    <cellStyle name="Normal" xfId="0" builtinId="0"/>
    <cellStyle name="Normal 12" xfId="3" xr:uid="{00000000-0005-0000-0000-000003000000}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4-27"/>
      <sheetName val="ØR23-26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C5">
            <v>1.0168999999999999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5" t="s">
        <v>4</v>
      </c>
      <c r="E6" s="75"/>
      <c r="F6" s="75"/>
      <c r="G6" s="75"/>
      <c r="H6" s="3"/>
      <c r="I6" s="1"/>
    </row>
    <row r="7" spans="1:9" ht="15" customHeight="1" x14ac:dyDescent="0.25">
      <c r="A7" s="1"/>
      <c r="B7" s="1"/>
      <c r="C7" s="3"/>
      <c r="D7" s="75"/>
      <c r="E7" s="75"/>
      <c r="F7" s="75"/>
      <c r="G7" s="75"/>
      <c r="H7" s="3"/>
      <c r="I7" s="1"/>
    </row>
    <row r="8" spans="1:9" ht="15.75" x14ac:dyDescent="0.25">
      <c r="A8" s="1"/>
      <c r="B8" s="1"/>
      <c r="C8" s="4"/>
      <c r="D8" s="80" t="s">
        <v>180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2" t="s">
        <v>163</v>
      </c>
      <c r="E13" s="73"/>
      <c r="F13" s="73"/>
      <c r="G13" s="74"/>
      <c r="H13" s="1"/>
      <c r="I13" s="1"/>
    </row>
    <row r="14" spans="1:9" x14ac:dyDescent="0.25">
      <c r="A14" s="1"/>
      <c r="B14" s="1"/>
      <c r="C14" s="6" t="s">
        <v>15</v>
      </c>
      <c r="D14" s="72" t="s">
        <v>83</v>
      </c>
      <c r="E14" s="73"/>
      <c r="F14" s="73"/>
      <c r="G14" s="74"/>
      <c r="H14" s="1"/>
      <c r="I14" s="1"/>
    </row>
    <row r="15" spans="1:9" x14ac:dyDescent="0.25">
      <c r="A15" s="1"/>
      <c r="B15" s="1"/>
      <c r="C15" s="6" t="s">
        <v>35</v>
      </c>
      <c r="D15" s="72" t="s">
        <v>128</v>
      </c>
      <c r="E15" s="73"/>
      <c r="F15" s="73"/>
      <c r="G15" s="74"/>
      <c r="H15" s="1"/>
      <c r="I15" s="1"/>
    </row>
    <row r="16" spans="1:9" x14ac:dyDescent="0.25">
      <c r="A16" s="1"/>
      <c r="B16" s="1"/>
      <c r="C16" s="6" t="s">
        <v>36</v>
      </c>
      <c r="D16" s="72" t="s">
        <v>181</v>
      </c>
      <c r="E16" s="73"/>
      <c r="F16" s="73"/>
      <c r="G16" s="74"/>
      <c r="H16" s="1"/>
      <c r="I16" s="1"/>
    </row>
    <row r="17" spans="1:9" x14ac:dyDescent="0.25">
      <c r="A17" s="1"/>
      <c r="B17" s="1"/>
      <c r="C17" s="6" t="s">
        <v>127</v>
      </c>
      <c r="D17" s="72" t="s">
        <v>182</v>
      </c>
      <c r="E17" s="73"/>
      <c r="F17" s="73"/>
      <c r="G17" s="74"/>
      <c r="H17" s="1"/>
      <c r="I17" s="1"/>
    </row>
    <row r="18" spans="1:9" x14ac:dyDescent="0.25">
      <c r="A18" s="1"/>
      <c r="B18" s="1"/>
      <c r="C18" s="32" t="s">
        <v>111</v>
      </c>
      <c r="D18" s="81" t="s">
        <v>100</v>
      </c>
      <c r="E18" s="82"/>
      <c r="F18" s="82"/>
      <c r="G18" s="83"/>
      <c r="H18" s="1"/>
      <c r="I18" s="1"/>
    </row>
    <row r="19" spans="1:9" x14ac:dyDescent="0.25">
      <c r="A19" s="1"/>
      <c r="B19" s="1"/>
      <c r="C19" s="32" t="s">
        <v>112</v>
      </c>
      <c r="D19" s="81" t="s">
        <v>101</v>
      </c>
      <c r="E19" s="82"/>
      <c r="F19" s="82"/>
      <c r="G19" s="83"/>
      <c r="H19" s="1"/>
      <c r="I19" s="1"/>
    </row>
    <row r="20" spans="1:9" x14ac:dyDescent="0.25">
      <c r="A20" s="1"/>
      <c r="B20" s="1"/>
      <c r="C20" s="32" t="s">
        <v>7</v>
      </c>
      <c r="D20" s="81" t="s">
        <v>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113</v>
      </c>
      <c r="D21" s="87" t="s">
        <v>12</v>
      </c>
      <c r="E21" s="88"/>
      <c r="F21" s="88"/>
      <c r="G21" s="89"/>
      <c r="H21" s="1"/>
      <c r="I21" s="1"/>
    </row>
    <row r="22" spans="1:9" x14ac:dyDescent="0.25">
      <c r="A22" s="1"/>
      <c r="B22" s="1"/>
      <c r="C22" s="6" t="s">
        <v>87</v>
      </c>
      <c r="D22" s="76" t="s">
        <v>183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37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170</v>
      </c>
      <c r="D24" s="76" t="s">
        <v>88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171</v>
      </c>
      <c r="D25" s="76" t="s">
        <v>89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172</v>
      </c>
      <c r="D26" s="76" t="s">
        <v>129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114</v>
      </c>
      <c r="D27" s="76" t="s">
        <v>38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108</v>
      </c>
      <c r="D28" s="84" t="s">
        <v>109</v>
      </c>
      <c r="E28" s="85"/>
      <c r="F28" s="85"/>
      <c r="G28" s="8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6tXWZx1N1zTk4A6rpngz6GHLHgAXOCrIPZrW5TtN+KXn7ww5HBf93kj877+l1m5AGLpbRVdYadEleVpqTN8tQ==" saltValue="pTsDV0he9MqKOmTKSkN+7A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 xr:uid="{00000000-0004-0000-0000-000000000000}"/>
    <hyperlink ref="D24:G24" location="'Fane 9.1. Varige tillæg'!A1" display="Varige tillæg" xr:uid="{00000000-0004-0000-0000-000001000000}"/>
    <hyperlink ref="D26:G26" location="'Fane 10. Tilknyttet virksomhed'!A1" display="Tilknyttet virksomhed" xr:uid="{00000000-0004-0000-0000-000002000000}"/>
    <hyperlink ref="D27:G27" location="'Fane 11. Bortfald'!A1" display="Bortfald" xr:uid="{00000000-0004-0000-0000-000003000000}"/>
    <hyperlink ref="D13:G13" location="'Fane 2.1. Økonomisk ramme 2022'!A1" display="Samlet økonomisk ramme for 2021" xr:uid="{00000000-0004-0000-0000-000004000000}"/>
    <hyperlink ref="D16:G16" location="'Fane 2.4. Økonomisk ramme 2025'!A1" display="Vejledende økonomisk ramme for 2024" xr:uid="{00000000-0004-0000-0000-000005000000}"/>
    <hyperlink ref="D15:G15" location="'Fane 2.3. Økonomisk ramme 2024'!A1" display="Vejledende økonomisk ramme for 2023" xr:uid="{00000000-0004-0000-0000-000006000000}"/>
    <hyperlink ref="D21:G21" location="'Fane 6. Ikke-påvirkelige omk.'!A1" display="Ikke-påvirkelige omkostninger" xr:uid="{00000000-0004-0000-0000-000007000000}"/>
    <hyperlink ref="D22:G22" location="'Fane 7. Kontrol af ØR2020'!A1" display="Kontrol af den økonomiske ramme for 2019" xr:uid="{00000000-0004-0000-0000-000008000000}"/>
    <hyperlink ref="D23:G23" location="'Fane 8. Anlægsprojekter'!A1" display="Anlægsprojekter" xr:uid="{00000000-0004-0000-0000-000009000000}"/>
    <hyperlink ref="D28:G28" location="'Fane 12. Nøgletal'!A1" display="Nøgletal" xr:uid="{00000000-0004-0000-0000-00000A000000}"/>
    <hyperlink ref="D17:G17" location="'Fane 3. Omkostninger i ØR2021'!A1" display="Omkostninger i ØR2020" xr:uid="{00000000-0004-0000-0000-00000B000000}"/>
    <hyperlink ref="D25:G25" location="'Fane 9.2. Engangstillæg'!A1" display="Engangstillæg" xr:uid="{00000000-0004-0000-0000-00000C000000}"/>
    <hyperlink ref="D19:G19" location="'Fane 4.2. Gen. krav - anlæg'!A1" display="Generelt effektiviseringskrav på anlæg" xr:uid="{00000000-0004-0000-0000-00000D000000}"/>
    <hyperlink ref="D18:G18" location="'Fane 4.1. Gen. krav - drift'!A1" display="Generelt effektiviseringskrav på drift" xr:uid="{00000000-0004-0000-0000-00000E000000}"/>
    <hyperlink ref="D20:G20" location="'Fane 5. Individuelt eff. krav'!A1" display="Individuelt effektiviseringskrav" xr:uid="{00000000-0004-0000-0000-00000F000000}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6" t="s">
        <v>203</v>
      </c>
      <c r="C8" s="117"/>
      <c r="D8" s="118"/>
      <c r="E8" s="1"/>
      <c r="F8" s="1"/>
    </row>
    <row r="9" spans="1:6" ht="15" customHeight="1" x14ac:dyDescent="0.25">
      <c r="A9" s="1"/>
      <c r="B9" s="56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7" t="s">
        <v>230</v>
      </c>
      <c r="C10" s="9">
        <v>12811363</v>
      </c>
      <c r="D10" s="14" t="s">
        <v>3</v>
      </c>
      <c r="E10" s="1"/>
      <c r="F10" s="1"/>
    </row>
    <row r="11" spans="1:6" x14ac:dyDescent="0.25">
      <c r="A11" s="1"/>
      <c r="B11" s="67" t="s">
        <v>231</v>
      </c>
      <c r="C11" s="9">
        <v>80552</v>
      </c>
      <c r="D11" s="14" t="s">
        <v>3</v>
      </c>
      <c r="E11" s="1"/>
      <c r="F11" s="1"/>
    </row>
    <row r="12" spans="1:6" x14ac:dyDescent="0.25">
      <c r="A12" s="1"/>
      <c r="B12" s="67" t="s">
        <v>232</v>
      </c>
      <c r="C12" s="9">
        <v>53700.14</v>
      </c>
      <c r="D12" s="14" t="s">
        <v>3</v>
      </c>
      <c r="E12" s="1"/>
      <c r="F12" s="1"/>
    </row>
    <row r="13" spans="1:6" x14ac:dyDescent="0.25">
      <c r="A13" s="1"/>
      <c r="B13" s="67" t="s">
        <v>233</v>
      </c>
      <c r="C13" s="9">
        <v>103940.13</v>
      </c>
      <c r="D13" s="14" t="s">
        <v>3</v>
      </c>
      <c r="E13" s="1"/>
      <c r="F13" s="1"/>
    </row>
    <row r="14" spans="1:6" x14ac:dyDescent="0.25">
      <c r="A14" s="1"/>
      <c r="B14" s="67" t="s">
        <v>256</v>
      </c>
      <c r="C14" s="9">
        <f>58408+29665</f>
        <v>88073</v>
      </c>
      <c r="D14" s="14" t="s">
        <v>3</v>
      </c>
      <c r="E14" s="1"/>
      <c r="F14" s="1"/>
    </row>
    <row r="15" spans="1:6" x14ac:dyDescent="0.25">
      <c r="A15" s="1"/>
      <c r="B15" s="59" t="s">
        <v>205</v>
      </c>
      <c r="C15" s="12">
        <f>SUM(C10:C14)</f>
        <v>13137628.270000001</v>
      </c>
      <c r="D15" s="13" t="s">
        <v>3</v>
      </c>
      <c r="E15" s="1"/>
      <c r="F15" s="1"/>
    </row>
    <row r="16" spans="1:6" x14ac:dyDescent="0.25">
      <c r="A16" s="1"/>
      <c r="B16" s="59" t="s">
        <v>206</v>
      </c>
      <c r="C16" s="12">
        <f>C15*(1+'Fane 12. Nøgletal'!C14)^2</f>
        <v>13224479.685353864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JwO/pzPnDsfhXyUaIVruza9SKVtrXLx/rebN0QQ+8KxCItgfMCVNI1WFrUhh339+DE7tzVVR58aZKmYOZBIMOg==" saltValue="YZhD/UeOYyRnLal5avf59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9" t="s">
        <v>221</v>
      </c>
      <c r="C3" s="109"/>
      <c r="D3" s="109"/>
      <c r="E3" s="109"/>
      <c r="F3" s="109"/>
      <c r="G3" s="1"/>
    </row>
    <row r="4" spans="1:7" ht="15" customHeight="1" x14ac:dyDescent="0.25">
      <c r="A4" s="1"/>
      <c r="B4" s="109"/>
      <c r="C4" s="109"/>
      <c r="D4" s="109"/>
      <c r="E4" s="109"/>
      <c r="F4" s="109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235</v>
      </c>
      <c r="C8" s="117"/>
      <c r="D8" s="117"/>
      <c r="E8" s="117"/>
      <c r="F8" s="118"/>
      <c r="G8" s="1"/>
    </row>
    <row r="9" spans="1:7" x14ac:dyDescent="0.25">
      <c r="A9" s="1"/>
      <c r="B9" s="113" t="s">
        <v>236</v>
      </c>
      <c r="C9" s="114"/>
      <c r="D9" s="115"/>
      <c r="E9" s="9">
        <v>-624965.5288265273</v>
      </c>
      <c r="F9" s="14" t="s">
        <v>3</v>
      </c>
      <c r="G9" s="1"/>
    </row>
    <row r="10" spans="1:7" x14ac:dyDescent="0.25">
      <c r="A10" s="1"/>
      <c r="B10" s="113" t="s">
        <v>237</v>
      </c>
      <c r="C10" s="114"/>
      <c r="D10" s="115"/>
      <c r="E10" s="9">
        <v>1035783.1871183068</v>
      </c>
      <c r="F10" s="14" t="s">
        <v>3</v>
      </c>
      <c r="G10" s="1"/>
    </row>
    <row r="11" spans="1:7" x14ac:dyDescent="0.25">
      <c r="A11" s="1"/>
      <c r="B11" s="113" t="s">
        <v>238</v>
      </c>
      <c r="C11" s="114"/>
      <c r="D11" s="115"/>
      <c r="E11" s="9">
        <v>196465.84105311334</v>
      </c>
      <c r="F11" s="14" t="s">
        <v>3</v>
      </c>
      <c r="G11" s="1"/>
    </row>
    <row r="12" spans="1:7" x14ac:dyDescent="0.25">
      <c r="A12" s="1"/>
      <c r="B12" s="113" t="s">
        <v>239</v>
      </c>
      <c r="C12" s="114"/>
      <c r="D12" s="115"/>
      <c r="E12" s="9">
        <f>IF(OR(AND(E10&gt;0,E11&lt;0),AND(E11&lt;0,E34&gt;0)),E17+E18,E11)</f>
        <v>196465.84105311334</v>
      </c>
      <c r="F12" s="14" t="s">
        <v>3</v>
      </c>
      <c r="G12" s="1"/>
    </row>
    <row r="13" spans="1:7" x14ac:dyDescent="0.25">
      <c r="A13" s="1"/>
      <c r="B13" s="59"/>
      <c r="C13" s="60"/>
      <c r="D13" s="60"/>
      <c r="E13" s="60"/>
      <c r="F13" s="20"/>
      <c r="G13" s="1"/>
    </row>
    <row r="14" spans="1:7" ht="54.75" customHeight="1" x14ac:dyDescent="0.25">
      <c r="A14" s="1"/>
      <c r="B14" s="92" t="s">
        <v>240</v>
      </c>
      <c r="C14" s="93"/>
      <c r="D14" s="93"/>
      <c r="E14" s="93"/>
      <c r="F14" s="94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241</v>
      </c>
      <c r="C16" s="117"/>
      <c r="D16" s="117"/>
      <c r="E16" s="117"/>
      <c r="F16" s="118"/>
      <c r="G16" s="1"/>
    </row>
    <row r="17" spans="1:7" x14ac:dyDescent="0.25">
      <c r="A17" s="1"/>
      <c r="B17" s="113" t="s">
        <v>242</v>
      </c>
      <c r="C17" s="114"/>
      <c r="D17" s="115"/>
      <c r="E17" s="9">
        <v>0</v>
      </c>
      <c r="F17" s="14" t="s">
        <v>3</v>
      </c>
      <c r="G17" s="1"/>
    </row>
    <row r="18" spans="1:7" x14ac:dyDescent="0.25">
      <c r="A18" s="1"/>
      <c r="B18" s="113" t="s">
        <v>243</v>
      </c>
      <c r="C18" s="114"/>
      <c r="D18" s="115"/>
      <c r="E18" s="9">
        <v>0</v>
      </c>
      <c r="F18" s="14" t="s">
        <v>3</v>
      </c>
      <c r="G18" s="1"/>
    </row>
    <row r="19" spans="1:7" x14ac:dyDescent="0.25">
      <c r="A19" s="1"/>
      <c r="B19" s="59"/>
      <c r="C19" s="60"/>
      <c r="D19" s="60"/>
      <c r="E19" s="60"/>
      <c r="F19" s="20"/>
      <c r="G19" s="1"/>
    </row>
    <row r="20" spans="1:7" ht="30" customHeight="1" x14ac:dyDescent="0.25">
      <c r="A20" s="1"/>
      <c r="B20" s="92" t="s">
        <v>244</v>
      </c>
      <c r="C20" s="93"/>
      <c r="D20" s="93"/>
      <c r="E20" s="93"/>
      <c r="F20" s="9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1" t="s">
        <v>207</v>
      </c>
      <c r="C22" s="62"/>
      <c r="D22" s="62"/>
      <c r="E22" s="62"/>
      <c r="F22" s="63"/>
      <c r="G22" s="1"/>
    </row>
    <row r="23" spans="1:7" x14ac:dyDescent="0.25">
      <c r="A23" s="1"/>
      <c r="B23" s="64" t="s">
        <v>208</v>
      </c>
      <c r="C23" s="65"/>
      <c r="D23" s="66"/>
      <c r="E23" s="9">
        <v>41587821.681977227</v>
      </c>
      <c r="F23" s="14" t="s">
        <v>3</v>
      </c>
      <c r="G23" s="1"/>
    </row>
    <row r="24" spans="1:7" x14ac:dyDescent="0.25">
      <c r="A24" s="1"/>
      <c r="B24" s="64" t="s">
        <v>209</v>
      </c>
      <c r="C24" s="65"/>
      <c r="D24" s="66"/>
      <c r="E24" s="9">
        <v>41327590.149999999</v>
      </c>
      <c r="F24" s="14" t="s">
        <v>3</v>
      </c>
      <c r="G24" s="1"/>
    </row>
    <row r="25" spans="1:7" x14ac:dyDescent="0.25">
      <c r="A25" s="1"/>
      <c r="B25" s="64" t="s">
        <v>34</v>
      </c>
      <c r="C25" s="65"/>
      <c r="D25" s="66"/>
      <c r="E25" s="9">
        <v>0</v>
      </c>
      <c r="F25" s="14" t="s">
        <v>3</v>
      </c>
      <c r="G25" s="1"/>
    </row>
    <row r="26" spans="1:7" x14ac:dyDescent="0.25">
      <c r="A26" s="1"/>
      <c r="B26" s="68" t="s">
        <v>253</v>
      </c>
      <c r="C26" s="69"/>
      <c r="D26" s="70"/>
      <c r="E26" s="46">
        <f>E23-(E24-E25)</f>
        <v>260231.53197722882</v>
      </c>
      <c r="F26" s="17" t="s">
        <v>3</v>
      </c>
      <c r="G26" s="1"/>
    </row>
    <row r="27" spans="1:7" x14ac:dyDescent="0.25">
      <c r="A27" s="1"/>
      <c r="B27" s="59"/>
      <c r="C27" s="60"/>
      <c r="D27" s="60"/>
      <c r="E27" s="60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245</v>
      </c>
      <c r="C29" s="117"/>
      <c r="D29" s="117"/>
      <c r="E29" s="117"/>
      <c r="F29" s="118"/>
      <c r="G29" s="1"/>
    </row>
    <row r="30" spans="1:7" x14ac:dyDescent="0.25">
      <c r="A30" s="1"/>
      <c r="B30" s="136" t="s">
        <v>246</v>
      </c>
      <c r="C30" s="137"/>
      <c r="D30" s="138"/>
      <c r="E30" s="47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6"/>
      <c r="C31" s="117"/>
      <c r="D31" s="117"/>
      <c r="E31" s="117"/>
      <c r="F31" s="118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6" t="s">
        <v>247</v>
      </c>
      <c r="C33" s="117"/>
      <c r="D33" s="117"/>
      <c r="E33" s="117"/>
      <c r="F33" s="118"/>
      <c r="G33" s="1"/>
    </row>
    <row r="34" spans="1:7" x14ac:dyDescent="0.25">
      <c r="A34" s="1"/>
      <c r="B34" s="133" t="s">
        <v>254</v>
      </c>
      <c r="C34" s="134"/>
      <c r="D34" s="135"/>
      <c r="E34" s="9">
        <v>2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32" t="s">
        <v>160</v>
      </c>
      <c r="C37" s="132"/>
      <c r="D37" s="132"/>
      <c r="E37" s="10">
        <f>E35/E36</f>
        <v>0</v>
      </c>
      <c r="F37" s="17" t="s">
        <v>3</v>
      </c>
      <c r="G37" s="1"/>
    </row>
    <row r="38" spans="1:7" x14ac:dyDescent="0.25">
      <c r="A38" s="1"/>
      <c r="B38" s="129"/>
      <c r="C38" s="130"/>
      <c r="D38" s="130"/>
      <c r="E38" s="130"/>
      <c r="F38" s="131"/>
      <c r="G38" s="1"/>
    </row>
    <row r="39" spans="1:7" ht="75" customHeight="1" x14ac:dyDescent="0.25">
      <c r="A39" s="1"/>
      <c r="B39" s="92" t="s">
        <v>252</v>
      </c>
      <c r="C39" s="93"/>
      <c r="D39" s="93"/>
      <c r="E39" s="93"/>
      <c r="F39" s="9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fFoYx3Ahgu+nhkdv7Fox3oo6HF8ctbxNfsmGmFe04Ze6Eydi6xlM1P8qUi0yDwYRt8BlaokgjiqKfcVCRlpMw==" saltValue="CYHXDngM0JGC7s+0MnP7ug==" spinCount="100000" sheet="1" objects="1" scenarios="1"/>
  <mergeCells count="21">
    <mergeCell ref="B3:F4"/>
    <mergeCell ref="B17:D17"/>
    <mergeCell ref="B9:D9"/>
    <mergeCell ref="B29:F29"/>
    <mergeCell ref="B30:D30"/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157</v>
      </c>
      <c r="C8" s="117"/>
      <c r="D8" s="117"/>
      <c r="E8" s="117"/>
      <c r="F8" s="117"/>
      <c r="G8" s="117"/>
      <c r="H8" s="11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48" t="s">
        <v>255</v>
      </c>
      <c r="C10" s="4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6" t="s">
        <v>158</v>
      </c>
      <c r="C11" s="117"/>
      <c r="D11" s="11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SdrN/PQOberW9c45TVr4fC7Nrp7PUL4nyu7hIHoiDeXo5y7kDf7o3d2KgrEq2z/Yy8bcN8adY6/lv7aQ5Aj6Q==" saltValue="mCIpmDi1/lf/pVtp6UcDX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84</v>
      </c>
      <c r="C8" s="60"/>
      <c r="D8" s="60"/>
      <c r="E8" s="60"/>
      <c r="F8" s="20"/>
      <c r="G8" s="1"/>
    </row>
    <row r="9" spans="1:7" ht="17.25" customHeight="1" x14ac:dyDescent="0.25">
      <c r="A9" s="1"/>
      <c r="B9" s="57" t="s">
        <v>16</v>
      </c>
      <c r="C9" s="57" t="s">
        <v>11</v>
      </c>
      <c r="D9" s="58"/>
      <c r="E9" s="57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ht="26.25" x14ac:dyDescent="0.25">
      <c r="A11" s="1"/>
      <c r="B11" s="45" t="s">
        <v>248</v>
      </c>
      <c r="C11" s="22">
        <v>0</v>
      </c>
      <c r="D11" s="14" t="s">
        <v>3</v>
      </c>
      <c r="E11" s="9">
        <v>1114934</v>
      </c>
      <c r="F11" s="14" t="s">
        <v>3</v>
      </c>
      <c r="G11" s="1"/>
    </row>
    <row r="12" spans="1:7" x14ac:dyDescent="0.25">
      <c r="A12" s="1"/>
      <c r="B12" s="37" t="s">
        <v>227</v>
      </c>
      <c r="C12" s="22">
        <v>8277</v>
      </c>
      <c r="D12" s="14" t="s">
        <v>3</v>
      </c>
      <c r="E12" s="9">
        <v>13033</v>
      </c>
      <c r="F12" s="14" t="s">
        <v>3</v>
      </c>
      <c r="G12" s="1"/>
    </row>
    <row r="13" spans="1:7" x14ac:dyDescent="0.25">
      <c r="A13" s="1"/>
      <c r="B13" s="59" t="s">
        <v>136</v>
      </c>
      <c r="C13" s="12">
        <f>SUM(C10:C12)</f>
        <v>8277</v>
      </c>
      <c r="D13" s="13" t="s">
        <v>3</v>
      </c>
      <c r="E13" s="12">
        <f>SUM(E10:E12)</f>
        <v>1127967</v>
      </c>
      <c r="F13" s="13" t="s">
        <v>3</v>
      </c>
      <c r="G13" s="1"/>
    </row>
    <row r="14" spans="1:7" x14ac:dyDescent="0.25">
      <c r="A14" s="1"/>
      <c r="B14" s="59" t="s">
        <v>210</v>
      </c>
      <c r="C14" s="12">
        <f>C13*(1+'Fane 12. Nøgletal'!C14)</f>
        <v>8304.3141000000014</v>
      </c>
      <c r="D14" s="13" t="s">
        <v>3</v>
      </c>
      <c r="E14" s="12">
        <f>E13*(1+'Fane 12. Nøgletal'!C14)</f>
        <v>1131689.2911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W13G5tB572GZjCKd1ddaRn67eWnzcYBWguqQ+D5Hro8+iws5yA4fAAkjzoAdGnH0veT5A6PfGGKmhw2rJeZOg==" saltValue="7C1H1BQC4ZkpkoeUag01h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102</v>
      </c>
      <c r="C8" s="117"/>
      <c r="D8" s="117"/>
      <c r="E8" s="117"/>
      <c r="F8" s="118"/>
      <c r="G8" s="1"/>
    </row>
    <row r="9" spans="1:7" x14ac:dyDescent="0.25">
      <c r="A9" s="1"/>
      <c r="B9" s="57" t="s">
        <v>16</v>
      </c>
      <c r="C9" s="57" t="s">
        <v>11</v>
      </c>
      <c r="D9" s="58"/>
      <c r="E9" s="57" t="s">
        <v>32</v>
      </c>
      <c r="F9" s="53"/>
      <c r="G9" s="1"/>
    </row>
    <row r="10" spans="1:7" x14ac:dyDescent="0.25">
      <c r="A10" s="1"/>
      <c r="B10" s="25" t="s">
        <v>228</v>
      </c>
      <c r="C10" s="22">
        <v>904261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9" t="s">
        <v>211</v>
      </c>
      <c r="C11" s="12">
        <f>SUM(C10:C10)</f>
        <v>904261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-18085.22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9" t="s">
        <v>137</v>
      </c>
      <c r="C14" s="12">
        <f>SUM(C11:C13)*(1+'Fane 12. Nøgletal'!C14)^2</f>
        <v>892034.19060224434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103</v>
      </c>
      <c r="C16" s="117"/>
      <c r="D16" s="117"/>
      <c r="E16" s="117"/>
      <c r="F16" s="118"/>
      <c r="G16" s="1"/>
    </row>
    <row r="17" spans="1:7" x14ac:dyDescent="0.25">
      <c r="A17" s="1"/>
      <c r="B17" s="57" t="s">
        <v>16</v>
      </c>
      <c r="C17" s="57" t="s">
        <v>11</v>
      </c>
      <c r="D17" s="58"/>
      <c r="E17" s="57" t="s">
        <v>32</v>
      </c>
      <c r="F17" s="53"/>
      <c r="G17" s="1"/>
    </row>
    <row r="18" spans="1:7" x14ac:dyDescent="0.25">
      <c r="A18" s="1"/>
      <c r="B18" s="25" t="s">
        <v>249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9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9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6" t="s">
        <v>138</v>
      </c>
      <c r="C24" s="117"/>
      <c r="D24" s="117"/>
      <c r="E24" s="117"/>
      <c r="F24" s="118"/>
      <c r="G24" s="1"/>
    </row>
    <row r="25" spans="1:7" x14ac:dyDescent="0.25">
      <c r="A25" s="1"/>
      <c r="B25" s="57" t="s">
        <v>16</v>
      </c>
      <c r="C25" s="57" t="s">
        <v>11</v>
      </c>
      <c r="D25" s="58"/>
      <c r="E25" s="57" t="s">
        <v>32</v>
      </c>
      <c r="F25" s="53"/>
      <c r="G25" s="1"/>
    </row>
    <row r="26" spans="1:7" x14ac:dyDescent="0.25">
      <c r="A26" s="1"/>
      <c r="B26" s="25" t="s">
        <v>249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9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9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6" t="s">
        <v>212</v>
      </c>
      <c r="C32" s="117"/>
      <c r="D32" s="117"/>
      <c r="E32" s="117"/>
      <c r="F32" s="118"/>
      <c r="G32" s="1"/>
    </row>
    <row r="33" spans="1:7" x14ac:dyDescent="0.25">
      <c r="A33" s="1"/>
      <c r="B33" s="57" t="s">
        <v>16</v>
      </c>
      <c r="C33" s="57" t="s">
        <v>11</v>
      </c>
      <c r="D33" s="58"/>
      <c r="E33" s="57" t="s">
        <v>32</v>
      </c>
      <c r="F33" s="53"/>
      <c r="G33" s="1"/>
    </row>
    <row r="34" spans="1:7" x14ac:dyDescent="0.25">
      <c r="A34" s="1"/>
      <c r="B34" s="25" t="s">
        <v>249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9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9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VTZZEUTQSlH3hpJAi25K6adcmd1MYjEZNLGRwGY7C7EzUo5bFj4d97inftVxilPRLBBx1ol8fHLz1L3XU+5aA==" saltValue="MfXEzsOM1QjiDErBsfcg5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166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130</v>
      </c>
      <c r="C8" s="117"/>
      <c r="D8" s="117"/>
      <c r="E8" s="117"/>
      <c r="F8" s="118"/>
      <c r="G8" s="1"/>
    </row>
    <row r="9" spans="1:7" ht="15" customHeight="1" x14ac:dyDescent="0.25">
      <c r="A9" s="1"/>
      <c r="B9" s="52" t="s">
        <v>131</v>
      </c>
      <c r="C9" s="101" t="s">
        <v>11</v>
      </c>
      <c r="D9" s="103"/>
      <c r="E9" s="101" t="s">
        <v>32</v>
      </c>
      <c r="F9" s="103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PjMoJVtvAif+N6XlsieK3kWIbHWP5TRCtHRVXvUV3IWUdLpHdad6CzvDPPLShFMTEslIOELj8I/JjLgU4gmRbQ==" saltValue="1qQCW+OwI29vdv4EnHxZK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165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98</v>
      </c>
      <c r="C8" s="117"/>
      <c r="D8" s="117"/>
      <c r="E8" s="117"/>
      <c r="F8" s="118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9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9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6" t="s">
        <v>99</v>
      </c>
      <c r="C15" s="117"/>
      <c r="D15" s="117"/>
      <c r="E15" s="117"/>
      <c r="F15" s="118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9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9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6" t="s">
        <v>142</v>
      </c>
      <c r="C22" s="117"/>
      <c r="D22" s="117"/>
      <c r="E22" s="117"/>
      <c r="F22" s="118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9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9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215</v>
      </c>
      <c r="C29" s="117"/>
      <c r="D29" s="117"/>
      <c r="E29" s="117"/>
      <c r="F29" s="118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9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9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L8gOmyUUHZfCp7mer+1YvM62tNDYFTvnuJF4EPX0h1aEQ0hjdhRTpg+vU0Op5Vw4GHp35G+3XVVXG9zqhTamw==" saltValue="8aes6ZZk8t2fUz9gG46E2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9" t="s">
        <v>164</v>
      </c>
      <c r="C3" s="109"/>
      <c r="D3" s="1"/>
    </row>
    <row r="4" spans="1:4" ht="25.5" customHeight="1" x14ac:dyDescent="0.25">
      <c r="A4" s="1"/>
      <c r="B4" s="109"/>
      <c r="C4" s="10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9" t="s">
        <v>14</v>
      </c>
      <c r="C8" s="20"/>
      <c r="D8" s="1"/>
    </row>
    <row r="9" spans="1:4" x14ac:dyDescent="0.25">
      <c r="A9" s="1"/>
      <c r="B9" s="67" t="s">
        <v>118</v>
      </c>
      <c r="C9" s="26">
        <v>1.2699999999999999E-2</v>
      </c>
      <c r="D9" s="1"/>
    </row>
    <row r="10" spans="1:4" x14ac:dyDescent="0.25">
      <c r="A10" s="1"/>
      <c r="B10" s="67" t="s">
        <v>22</v>
      </c>
      <c r="C10" s="26">
        <v>1.7500000000000002E-2</v>
      </c>
      <c r="D10" s="1"/>
    </row>
    <row r="11" spans="1:4" x14ac:dyDescent="0.25">
      <c r="A11" s="1"/>
      <c r="B11" s="67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50">
        <v>3.3E-3</v>
      </c>
      <c r="D14" s="1"/>
    </row>
    <row r="15" spans="1:4" x14ac:dyDescent="0.25">
      <c r="A15" s="1"/>
      <c r="B15" s="116"/>
      <c r="C15" s="118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9" t="s">
        <v>106</v>
      </c>
      <c r="C18" s="20"/>
      <c r="D18" s="1"/>
    </row>
    <row r="19" spans="1:4" x14ac:dyDescent="0.25">
      <c r="A19" s="1"/>
      <c r="B19" s="67" t="s">
        <v>120</v>
      </c>
      <c r="C19" s="23">
        <v>9.1000000000000004E-3</v>
      </c>
      <c r="D19" s="1"/>
    </row>
    <row r="20" spans="1:4" x14ac:dyDescent="0.25">
      <c r="A20" s="1"/>
      <c r="B20" s="67" t="s">
        <v>121</v>
      </c>
      <c r="C20" s="23">
        <v>1.77E-2</v>
      </c>
      <c r="D20" s="1"/>
    </row>
    <row r="21" spans="1:4" x14ac:dyDescent="0.25">
      <c r="A21" s="1"/>
      <c r="B21" s="67" t="s">
        <v>122</v>
      </c>
      <c r="C21" s="23">
        <v>8.6999999999999994E-3</v>
      </c>
      <c r="D21" s="1"/>
    </row>
    <row r="22" spans="1:4" x14ac:dyDescent="0.25">
      <c r="A22" s="1"/>
      <c r="B22" s="67" t="s">
        <v>123</v>
      </c>
      <c r="C22" s="35">
        <v>2.8400000000000002E-2</v>
      </c>
      <c r="D22" s="1"/>
    </row>
    <row r="23" spans="1:4" x14ac:dyDescent="0.25">
      <c r="A23" s="1"/>
      <c r="B23" s="67" t="s">
        <v>146</v>
      </c>
      <c r="C23" s="35">
        <v>2.75E-2</v>
      </c>
      <c r="D23" s="1"/>
    </row>
    <row r="24" spans="1:4" x14ac:dyDescent="0.25">
      <c r="A24" s="1"/>
      <c r="B24" s="67" t="s">
        <v>218</v>
      </c>
      <c r="C24" s="35">
        <v>1.4800000000000001E-2</v>
      </c>
      <c r="D24" s="1"/>
    </row>
    <row r="25" spans="1:4" x14ac:dyDescent="0.25">
      <c r="A25" s="1"/>
      <c r="B25" s="59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9" t="s">
        <v>107</v>
      </c>
      <c r="C28" s="20"/>
      <c r="D28" s="1"/>
    </row>
    <row r="29" spans="1:4" x14ac:dyDescent="0.25">
      <c r="A29" s="1"/>
      <c r="B29" s="67" t="s">
        <v>124</v>
      </c>
      <c r="C29" s="26">
        <v>0.02</v>
      </c>
      <c r="D29" s="1"/>
    </row>
    <row r="30" spans="1:4" x14ac:dyDescent="0.25">
      <c r="A30" s="1"/>
      <c r="B30" s="59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TXVN5+sWDOVbMqn9MoFf+BJ8mX2AAl05EvMtnfWpMOBGPimzYpkVew/8wkC5LJH/Yq0hYaQRUUdQJ5IRRABScw==" saltValue="5qWdWfgFqvYG2rj2w+9HS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9" t="s">
        <v>13</v>
      </c>
      <c r="C8" s="60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27336481.998573735</v>
      </c>
      <c r="D9" s="8" t="s">
        <v>3</v>
      </c>
      <c r="E9" s="1"/>
    </row>
    <row r="10" spans="1:5" x14ac:dyDescent="0.25">
      <c r="A10" s="1"/>
      <c r="B10" s="51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551978.80217847356</v>
      </c>
      <c r="D10" s="8" t="s">
        <v>3</v>
      </c>
      <c r="E10" s="1"/>
    </row>
    <row r="11" spans="1:5" x14ac:dyDescent="0.25">
      <c r="A11" s="1"/>
      <c r="B11" s="51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670487.79275392322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8304.3141000000014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1131689.2911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337267.05927975959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-298813.61322019936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-373043.67431625491</v>
      </c>
      <c r="D21" s="8" t="s">
        <v>3</v>
      </c>
      <c r="E21" s="1"/>
    </row>
    <row r="22" spans="1:5" ht="17.100000000000001" customHeight="1" x14ac:dyDescent="0.25">
      <c r="A22" s="1"/>
      <c r="B22" s="68" t="s">
        <v>20</v>
      </c>
      <c r="C22" s="10">
        <f>SUM(C9,C12:C21)</f>
        <v>28141885.37551704</v>
      </c>
      <c r="D22" s="11" t="s">
        <v>3</v>
      </c>
      <c r="E22" s="1"/>
    </row>
    <row r="23" spans="1:5" ht="15" customHeight="1" x14ac:dyDescent="0.25">
      <c r="A23" s="1"/>
      <c r="B23" s="59" t="s">
        <v>12</v>
      </c>
      <c r="C23" s="60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omk.'!C16</f>
        <v>13224479.685353864</v>
      </c>
      <c r="D24" s="11" t="s">
        <v>3</v>
      </c>
      <c r="E24" s="1"/>
    </row>
    <row r="25" spans="1:5" ht="15" customHeight="1" x14ac:dyDescent="0.25">
      <c r="A25" s="1"/>
      <c r="B25" s="59" t="s">
        <v>89</v>
      </c>
      <c r="C25" s="60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892034.19060224434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8" t="s">
        <v>90</v>
      </c>
      <c r="C28" s="10">
        <f>SUM(C26:C27)</f>
        <v>892034.19060224434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60"/>
      <c r="D29" s="20"/>
      <c r="E29" s="1"/>
    </row>
    <row r="30" spans="1:5" x14ac:dyDescent="0.25">
      <c r="A30" s="1"/>
      <c r="B30" s="71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60"/>
      <c r="D31" s="20"/>
      <c r="E31" s="1"/>
    </row>
    <row r="32" spans="1:5" x14ac:dyDescent="0.25">
      <c r="A32" s="1"/>
      <c r="B32" s="71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9" t="s">
        <v>30</v>
      </c>
      <c r="C33" s="31">
        <f>SUM(C22,C24,C28,C30,C32)</f>
        <v>42258399.251473144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p7BcL6fyRrbfCr+uQ37IrQY0Fywqp2JXqbew/Lqpp3FbfGcU//1njHVCEv0qrAEWpdxWkHboEM1ptp64sBxu1Q==" saltValue="uVw1xLc7vKWKSSOb/hWYB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9" t="s">
        <v>13</v>
      </c>
      <c r="C8" s="60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28141885.37551704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1" t="s">
        <v>18</v>
      </c>
      <c r="C12" s="9">
        <f>SUM(C9:C11)*'Fane 12. Nøgletal'!C14</f>
        <v>92868.22173920623</v>
      </c>
      <c r="D12" s="8" t="s">
        <v>3</v>
      </c>
      <c r="E12" s="1"/>
    </row>
    <row r="13" spans="1:5" ht="15" customHeight="1" x14ac:dyDescent="0.25">
      <c r="A13" s="1"/>
      <c r="B13" s="51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51" t="s">
        <v>25</v>
      </c>
      <c r="C14" s="9">
        <f>-'Fane 4.1. Gen. krav - drift'!G44</f>
        <v>-293803.70418094948</v>
      </c>
      <c r="D14" s="8" t="s">
        <v>3</v>
      </c>
      <c r="E14" s="1"/>
    </row>
    <row r="15" spans="1:5" ht="15" customHeight="1" x14ac:dyDescent="0.25">
      <c r="A15" s="1"/>
      <c r="B15" s="51" t="s">
        <v>26</v>
      </c>
      <c r="C15" s="9">
        <f>-'Fane 4.2. Gen. krav - anlæg'!G44</f>
        <v>-203674.71125189908</v>
      </c>
      <c r="D15" s="8" t="s">
        <v>3</v>
      </c>
      <c r="E15" s="1"/>
    </row>
    <row r="16" spans="1:5" ht="15" customHeight="1" x14ac:dyDescent="0.25">
      <c r="A16" s="1"/>
      <c r="B16" s="56" t="s">
        <v>20</v>
      </c>
      <c r="C16" s="10">
        <f>SUM(C9:C15)</f>
        <v>27737275.181823399</v>
      </c>
      <c r="D16" s="11" t="s">
        <v>3</v>
      </c>
      <c r="E16" s="1"/>
    </row>
    <row r="17" spans="1:5" x14ac:dyDescent="0.25">
      <c r="A17" s="1"/>
      <c r="B17" s="59" t="s">
        <v>12</v>
      </c>
      <c r="C17" s="60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omk.'!C16*(1+'Fane 12. Nøgletal'!C14)</f>
        <v>13268120.468315532</v>
      </c>
      <c r="D18" s="11" t="s">
        <v>3</v>
      </c>
      <c r="E18" s="1"/>
    </row>
    <row r="19" spans="1:5" ht="15" customHeight="1" x14ac:dyDescent="0.25">
      <c r="A19" s="1"/>
      <c r="B19" s="59" t="s">
        <v>89</v>
      </c>
      <c r="C19" s="60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8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60"/>
      <c r="D23" s="20"/>
      <c r="E23" s="1"/>
    </row>
    <row r="24" spans="1:5" ht="15" customHeight="1" x14ac:dyDescent="0.25">
      <c r="A24" s="1"/>
      <c r="B24" s="71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60"/>
      <c r="D25" s="20"/>
      <c r="E25" s="1"/>
    </row>
    <row r="26" spans="1:5" x14ac:dyDescent="0.25">
      <c r="A26" s="1"/>
      <c r="B26" s="71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9" t="s">
        <v>97</v>
      </c>
      <c r="C27" s="12">
        <f>SUM(C16,C18,C22,C24,C26)</f>
        <v>41005395.650138929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lOVEphXJgWhejdnCDmstjKQVPaPs3D40fRsJtIdku6jXpGu/4igtZO5h4uGE5oNRz4yn9RCyh47bUNhLxVM6oQ==" saltValue="/+W1zk7lHoHCGpFPjDwys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186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9" t="s">
        <v>13</v>
      </c>
      <c r="C7" s="60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27737275.181823399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1" t="s">
        <v>18</v>
      </c>
      <c r="C11" s="9">
        <f>SUM(C8:C10)*'Fane 12. Nøgletal'!C14</f>
        <v>91533.008100017221</v>
      </c>
      <c r="D11" s="8" t="s">
        <v>3</v>
      </c>
      <c r="E11" s="1"/>
    </row>
    <row r="12" spans="1:5" ht="15" customHeight="1" x14ac:dyDescent="0.25">
      <c r="A12" s="1"/>
      <c r="B12" s="51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51" t="s">
        <v>25</v>
      </c>
      <c r="C13" s="9">
        <f>-'Fane 4.1. Gen. krav - drift'!G50</f>
        <v>-288877.79127665173</v>
      </c>
      <c r="D13" s="8" t="s">
        <v>3</v>
      </c>
      <c r="E13" s="1"/>
    </row>
    <row r="14" spans="1:5" ht="15" customHeight="1" x14ac:dyDescent="0.25">
      <c r="A14" s="1"/>
      <c r="B14" s="51" t="s">
        <v>26</v>
      </c>
      <c r="C14" s="43">
        <f>-'Fane 4.2. Gen. krav - anlæg'!G50</f>
        <v>-201322.5045996047</v>
      </c>
      <c r="D14" s="8" t="s">
        <v>3</v>
      </c>
      <c r="E14" s="1"/>
    </row>
    <row r="15" spans="1:5" x14ac:dyDescent="0.25">
      <c r="A15" s="1"/>
      <c r="B15" s="56" t="s">
        <v>20</v>
      </c>
      <c r="C15" s="10">
        <f>SUM(C8:C14)</f>
        <v>27338607.89404716</v>
      </c>
      <c r="D15" s="11" t="s">
        <v>3</v>
      </c>
      <c r="E15" s="1"/>
    </row>
    <row r="16" spans="1:5" x14ac:dyDescent="0.25">
      <c r="A16" s="1"/>
      <c r="B16" s="59" t="s">
        <v>12</v>
      </c>
      <c r="C16" s="60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Nøgletal'!C14)^2</f>
        <v>13311905.265860975</v>
      </c>
      <c r="D17" s="11" t="s">
        <v>3</v>
      </c>
      <c r="E17" s="1"/>
    </row>
    <row r="18" spans="1:5" ht="15" customHeight="1" x14ac:dyDescent="0.25">
      <c r="A18" s="1"/>
      <c r="B18" s="59" t="s">
        <v>89</v>
      </c>
      <c r="C18" s="60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9" t="s">
        <v>161</v>
      </c>
      <c r="C22" s="60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60"/>
      <c r="D24" s="20"/>
      <c r="E24" s="1"/>
    </row>
    <row r="25" spans="1:5" ht="15" customHeight="1" x14ac:dyDescent="0.25">
      <c r="A25" s="1"/>
      <c r="B25" s="71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9" t="s">
        <v>187</v>
      </c>
      <c r="C26" s="12">
        <f>SUM(C15,C17,C21,C23,C25)</f>
        <v>40650513.159908131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3BLCsY0+Nry+Rz7S2iOG3inMGJEHokd+Lmvu/C3W4qcxH+yaqscYFrjY9aYf+/gL5tr3lKE9lz9y2Hx8/78ZzQ==" saltValue="8mobFkwGMX/O0ppE53sd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188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9" t="s">
        <v>13</v>
      </c>
      <c r="C7" s="60"/>
      <c r="D7" s="20"/>
      <c r="E7" s="1"/>
    </row>
    <row r="8" spans="1:5" ht="15" customHeight="1" x14ac:dyDescent="0.25">
      <c r="A8" s="1"/>
      <c r="B8" s="55" t="s">
        <v>189</v>
      </c>
      <c r="C8" s="7">
        <f>'Fane 2.3. Økonomisk ramme 2024'!C15</f>
        <v>27338607.89404716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1" t="s">
        <v>18</v>
      </c>
      <c r="C11" s="9">
        <f>SUM(C8:C10)*'Fane 12. Nøgletal'!C14</f>
        <v>90217.406050355625</v>
      </c>
      <c r="D11" s="8" t="s">
        <v>3</v>
      </c>
      <c r="E11" s="1"/>
    </row>
    <row r="12" spans="1:5" ht="15" customHeight="1" x14ac:dyDescent="0.25">
      <c r="A12" s="1"/>
      <c r="B12" s="51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51" t="s">
        <v>25</v>
      </c>
      <c r="C13" s="9">
        <f>-'Fane 4.1. Gen. krav - drift'!G56</f>
        <v>-284034.4662281074</v>
      </c>
      <c r="D13" s="8" t="s">
        <v>3</v>
      </c>
      <c r="E13" s="1"/>
    </row>
    <row r="14" spans="1:5" ht="15" customHeight="1" x14ac:dyDescent="0.25">
      <c r="A14" s="1"/>
      <c r="B14" s="51" t="s">
        <v>26</v>
      </c>
      <c r="C14" s="9">
        <f>-'Fane 4.2. Gen. krav - anlæg'!G56</f>
        <v>-198997.46320558459</v>
      </c>
      <c r="D14" s="8" t="s">
        <v>3</v>
      </c>
      <c r="E14" s="1"/>
    </row>
    <row r="15" spans="1:5" x14ac:dyDescent="0.25">
      <c r="A15" s="1"/>
      <c r="B15" s="56" t="s">
        <v>20</v>
      </c>
      <c r="C15" s="10">
        <f>SUM(C8:C14)</f>
        <v>26945793.370663822</v>
      </c>
      <c r="D15" s="11" t="s">
        <v>3</v>
      </c>
      <c r="E15" s="1"/>
    </row>
    <row r="16" spans="1:5" x14ac:dyDescent="0.25">
      <c r="A16" s="1"/>
      <c r="B16" s="59" t="s">
        <v>12</v>
      </c>
      <c r="C16" s="60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Nøgletal'!C14)^3</f>
        <v>13355834.553238317</v>
      </c>
      <c r="D17" s="11" t="s">
        <v>3</v>
      </c>
      <c r="E17" s="1"/>
    </row>
    <row r="18" spans="1:5" ht="15" customHeight="1" x14ac:dyDescent="0.25">
      <c r="A18" s="1"/>
      <c r="B18" s="59" t="s">
        <v>89</v>
      </c>
      <c r="C18" s="60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8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9" t="s">
        <v>161</v>
      </c>
      <c r="C22" s="60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60"/>
      <c r="D24" s="20"/>
      <c r="E24" s="1"/>
    </row>
    <row r="25" spans="1:5" x14ac:dyDescent="0.25">
      <c r="A25" s="1"/>
      <c r="B25" s="71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9" t="s">
        <v>190</v>
      </c>
      <c r="C26" s="12">
        <f>SUM(C15,C17,C21,C23,C25)</f>
        <v>40301627.923902139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B39oOG/Vnz3nQpaec8Dy3SA8SKUaP5zzTC7wSySoBjxbonZPjZVjVCq+HVxtBmlkMZ4IEyzuhp5VICPsWKqSGw==" saltValue="nxEMCDyH4v8+nXm1mrU2G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191</v>
      </c>
      <c r="C3" s="109"/>
      <c r="D3" s="109"/>
      <c r="E3" s="109"/>
      <c r="F3" s="109"/>
      <c r="G3" s="1"/>
    </row>
    <row r="4" spans="1:7" ht="29.2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224</v>
      </c>
      <c r="C8" s="60"/>
      <c r="D8" s="60"/>
      <c r="E8" s="60"/>
      <c r="F8" s="20"/>
      <c r="G8" s="1"/>
    </row>
    <row r="9" spans="1:7" x14ac:dyDescent="0.25">
      <c r="A9" s="1"/>
      <c r="B9" s="110" t="s">
        <v>23</v>
      </c>
      <c r="C9" s="111"/>
      <c r="D9" s="112"/>
      <c r="E9" s="7">
        <v>26424379.917191569</v>
      </c>
      <c r="F9" s="8" t="s">
        <v>3</v>
      </c>
      <c r="G9" s="1"/>
    </row>
    <row r="10" spans="1:7" ht="15" customHeight="1" x14ac:dyDescent="0.25">
      <c r="A10" s="1"/>
      <c r="B10" s="95" t="s">
        <v>40</v>
      </c>
      <c r="C10" s="96"/>
      <c r="D10" s="97"/>
      <c r="E10" s="9">
        <v>556454.92559999996</v>
      </c>
      <c r="F10" s="8" t="s">
        <v>3</v>
      </c>
      <c r="G10" s="1"/>
    </row>
    <row r="11" spans="1:7" ht="15" customHeight="1" x14ac:dyDescent="0.25">
      <c r="A11" s="1"/>
      <c r="B11" s="95" t="s">
        <v>41</v>
      </c>
      <c r="C11" s="96"/>
      <c r="D11" s="97"/>
      <c r="E11" s="9">
        <v>681137.72160000005</v>
      </c>
      <c r="F11" s="8" t="s">
        <v>3</v>
      </c>
      <c r="G11" s="1"/>
    </row>
    <row r="12" spans="1:7" x14ac:dyDescent="0.25">
      <c r="A12" s="1"/>
      <c r="B12" s="95" t="s">
        <v>28</v>
      </c>
      <c r="C12" s="96"/>
      <c r="D12" s="97"/>
      <c r="E12" s="9">
        <v>0</v>
      </c>
      <c r="F12" s="8" t="s">
        <v>3</v>
      </c>
      <c r="G12" s="1"/>
    </row>
    <row r="13" spans="1:7" x14ac:dyDescent="0.25">
      <c r="A13" s="1"/>
      <c r="B13" s="95" t="s">
        <v>27</v>
      </c>
      <c r="C13" s="96"/>
      <c r="D13" s="97"/>
      <c r="E13" s="9">
        <v>0</v>
      </c>
      <c r="F13" s="8" t="s">
        <v>3</v>
      </c>
      <c r="G13" s="1"/>
    </row>
    <row r="14" spans="1:7" x14ac:dyDescent="0.25">
      <c r="A14" s="1"/>
      <c r="B14" s="95" t="s">
        <v>132</v>
      </c>
      <c r="C14" s="96"/>
      <c r="D14" s="97"/>
      <c r="E14" s="9">
        <v>0</v>
      </c>
      <c r="F14" s="8" t="s">
        <v>3</v>
      </c>
      <c r="G14" s="1"/>
    </row>
    <row r="15" spans="1:7" x14ac:dyDescent="0.25">
      <c r="A15" s="1"/>
      <c r="B15" s="95" t="s">
        <v>133</v>
      </c>
      <c r="C15" s="96"/>
      <c r="D15" s="97"/>
      <c r="E15" s="9">
        <v>0</v>
      </c>
      <c r="F15" s="8" t="s">
        <v>3</v>
      </c>
      <c r="G15" s="1"/>
    </row>
    <row r="16" spans="1:7" x14ac:dyDescent="0.25">
      <c r="A16" s="1"/>
      <c r="B16" s="95" t="s">
        <v>18</v>
      </c>
      <c r="C16" s="96"/>
      <c r="D16" s="97"/>
      <c r="E16" s="9">
        <v>337476.06528557715</v>
      </c>
      <c r="F16" s="8" t="s">
        <v>3</v>
      </c>
      <c r="G16" s="1"/>
    </row>
    <row r="17" spans="1:7" x14ac:dyDescent="0.25">
      <c r="A17" s="1"/>
      <c r="B17" s="95" t="s">
        <v>9</v>
      </c>
      <c r="C17" s="96"/>
      <c r="D17" s="97"/>
      <c r="E17" s="9">
        <v>0</v>
      </c>
      <c r="F17" s="8" t="s">
        <v>3</v>
      </c>
      <c r="G17" s="1"/>
    </row>
    <row r="18" spans="1:7" x14ac:dyDescent="0.25">
      <c r="A18" s="1"/>
      <c r="B18" s="95" t="s">
        <v>25</v>
      </c>
      <c r="C18" s="96"/>
      <c r="D18" s="97"/>
      <c r="E18" s="9">
        <v>-301068.77608832327</v>
      </c>
      <c r="F18" s="8" t="s">
        <v>3</v>
      </c>
      <c r="G18" s="1"/>
    </row>
    <row r="19" spans="1:7" x14ac:dyDescent="0.25">
      <c r="A19" s="1"/>
      <c r="B19" s="95" t="s">
        <v>26</v>
      </c>
      <c r="C19" s="96"/>
      <c r="D19" s="97"/>
      <c r="E19" s="9">
        <v>-361897.85501508601</v>
      </c>
      <c r="F19" s="8" t="s">
        <v>3</v>
      </c>
      <c r="G19" s="1"/>
    </row>
    <row r="20" spans="1:7" x14ac:dyDescent="0.25">
      <c r="A20" s="1"/>
      <c r="B20" s="98" t="s">
        <v>20</v>
      </c>
      <c r="C20" s="99"/>
      <c r="D20" s="100"/>
      <c r="E20" s="10">
        <f>SUM(E9:E19)</f>
        <v>27336481.998573735</v>
      </c>
      <c r="F20" s="11" t="s">
        <v>3</v>
      </c>
      <c r="G20" s="1"/>
    </row>
    <row r="21" spans="1:7" x14ac:dyDescent="0.25">
      <c r="A21" s="1"/>
      <c r="B21" s="59" t="s">
        <v>12</v>
      </c>
      <c r="C21" s="60"/>
      <c r="D21" s="60"/>
      <c r="E21" s="60"/>
      <c r="F21" s="20"/>
      <c r="G21" s="1"/>
    </row>
    <row r="22" spans="1:7" x14ac:dyDescent="0.25">
      <c r="A22" s="1"/>
      <c r="B22" s="106" t="s">
        <v>12</v>
      </c>
      <c r="C22" s="107"/>
      <c r="D22" s="108"/>
      <c r="E22" s="10">
        <v>14836336.3928944</v>
      </c>
      <c r="F22" s="11" t="s">
        <v>3</v>
      </c>
      <c r="G22" s="1"/>
    </row>
    <row r="23" spans="1:7" ht="15" customHeight="1" x14ac:dyDescent="0.25">
      <c r="A23" s="1"/>
      <c r="B23" s="104" t="s">
        <v>89</v>
      </c>
      <c r="C23" s="105"/>
      <c r="D23" s="105"/>
      <c r="E23" s="60"/>
      <c r="F23" s="60"/>
      <c r="G23" s="1"/>
    </row>
    <row r="24" spans="1:7" ht="14.25" customHeight="1" x14ac:dyDescent="0.25">
      <c r="A24" s="1"/>
      <c r="B24" s="92" t="s">
        <v>85</v>
      </c>
      <c r="C24" s="93"/>
      <c r="D24" s="94"/>
      <c r="E24" s="9">
        <v>100408.85996652</v>
      </c>
      <c r="F24" s="8" t="s">
        <v>3</v>
      </c>
      <c r="G24" s="1"/>
    </row>
    <row r="25" spans="1:7" ht="14.25" customHeight="1" x14ac:dyDescent="0.25">
      <c r="A25" s="1"/>
      <c r="B25" s="92" t="s">
        <v>86</v>
      </c>
      <c r="C25" s="93"/>
      <c r="D25" s="94"/>
      <c r="E25" s="9">
        <v>0</v>
      </c>
      <c r="F25" s="8" t="s">
        <v>3</v>
      </c>
      <c r="G25" s="1"/>
    </row>
    <row r="26" spans="1:7" x14ac:dyDescent="0.25">
      <c r="A26" s="1"/>
      <c r="B26" s="101" t="s">
        <v>90</v>
      </c>
      <c r="C26" s="102"/>
      <c r="D26" s="102"/>
      <c r="E26" s="10">
        <v>98400.682767189603</v>
      </c>
      <c r="F26" s="11" t="s">
        <v>3</v>
      </c>
      <c r="G26" s="1"/>
    </row>
    <row r="27" spans="1:7" x14ac:dyDescent="0.25">
      <c r="A27" s="1"/>
      <c r="B27" s="59" t="s">
        <v>161</v>
      </c>
      <c r="C27" s="60"/>
      <c r="D27" s="60"/>
      <c r="E27" s="60"/>
      <c r="F27" s="20"/>
      <c r="G27" s="1"/>
    </row>
    <row r="28" spans="1:7" ht="15" customHeight="1" x14ac:dyDescent="0.25">
      <c r="A28" s="1"/>
      <c r="B28" s="101" t="s">
        <v>162</v>
      </c>
      <c r="C28" s="102"/>
      <c r="D28" s="103"/>
      <c r="E28" s="10">
        <v>0</v>
      </c>
      <c r="F28" s="11" t="s">
        <v>3</v>
      </c>
      <c r="G28" s="1"/>
    </row>
    <row r="29" spans="1:7" x14ac:dyDescent="0.25">
      <c r="A29" s="1"/>
      <c r="B29" s="59" t="s">
        <v>250</v>
      </c>
      <c r="C29" s="60"/>
      <c r="D29" s="60"/>
      <c r="E29" s="60"/>
      <c r="F29" s="20"/>
      <c r="G29" s="1"/>
    </row>
    <row r="30" spans="1:7" ht="15.6" customHeight="1" x14ac:dyDescent="0.25">
      <c r="A30" s="1"/>
      <c r="B30" s="106" t="s">
        <v>251</v>
      </c>
      <c r="C30" s="107"/>
      <c r="D30" s="108"/>
      <c r="E30" s="10">
        <v>236.09180000000001</v>
      </c>
      <c r="F30" s="11" t="s">
        <v>3</v>
      </c>
      <c r="G30" s="1"/>
    </row>
    <row r="31" spans="1:7" x14ac:dyDescent="0.25">
      <c r="A31" s="1"/>
      <c r="B31" s="59" t="s">
        <v>29</v>
      </c>
      <c r="C31" s="60"/>
      <c r="D31" s="60"/>
      <c r="E31" s="12">
        <f>E20+E22+E26+E28+E30</f>
        <v>42271455.166035324</v>
      </c>
      <c r="F31" s="13" t="s">
        <v>3</v>
      </c>
      <c r="G31" s="1"/>
    </row>
    <row r="32" spans="1:7" ht="27.75" customHeight="1" x14ac:dyDescent="0.25">
      <c r="A32" s="1"/>
      <c r="B32" s="92" t="s">
        <v>192</v>
      </c>
      <c r="C32" s="93"/>
      <c r="D32" s="93"/>
      <c r="E32" s="93"/>
      <c r="F32" s="9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e7F7DMqRLuL4C+IPGvd/B9TA8uVqDhZ9w1PPO5AVWbFIuBOlMNF91mgYDrk1BYly32ooQpJ8doNgXXgE4oNVA==" saltValue="KR3+jXfT4BlW7GJpRNJvsg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9" t="s">
        <v>115</v>
      </c>
      <c r="C1" s="109"/>
      <c r="D1" s="109"/>
      <c r="E1" s="109"/>
      <c r="F1" s="109"/>
      <c r="G1" s="109"/>
      <c r="H1" s="109"/>
      <c r="I1" s="1"/>
    </row>
    <row r="2" spans="1:9" ht="15" customHeight="1" x14ac:dyDescent="0.25">
      <c r="A2" s="1"/>
      <c r="B2" s="109"/>
      <c r="C2" s="109"/>
      <c r="D2" s="109"/>
      <c r="E2" s="109"/>
      <c r="F2" s="109"/>
      <c r="G2" s="109"/>
      <c r="H2" s="109"/>
      <c r="I2" s="1"/>
    </row>
    <row r="3" spans="1:9" ht="15" customHeight="1" x14ac:dyDescent="0.25">
      <c r="A3" s="1"/>
      <c r="B3" s="109"/>
      <c r="C3" s="109"/>
      <c r="D3" s="109"/>
      <c r="E3" s="109"/>
      <c r="F3" s="109"/>
      <c r="G3" s="109"/>
      <c r="H3" s="109"/>
      <c r="I3" s="1"/>
    </row>
    <row r="4" spans="1:9" x14ac:dyDescent="0.25">
      <c r="A4" s="1"/>
      <c r="B4" s="116" t="s">
        <v>54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43</v>
      </c>
      <c r="C5" s="114"/>
      <c r="D5" s="114"/>
      <c r="E5" s="114"/>
      <c r="F5" s="115"/>
      <c r="G5" s="24">
        <v>14941645.85155252</v>
      </c>
      <c r="H5" s="14" t="s">
        <v>3</v>
      </c>
      <c r="I5" s="1"/>
    </row>
    <row r="6" spans="1:9" x14ac:dyDescent="0.25">
      <c r="A6" s="1"/>
      <c r="B6" s="113" t="s">
        <v>44</v>
      </c>
      <c r="C6" s="114"/>
      <c r="D6" s="114"/>
      <c r="E6" s="114"/>
      <c r="F6" s="115"/>
      <c r="G6" s="24">
        <f>G5*'Fane 12. Nøgletal'!C29</f>
        <v>298832.91703105043</v>
      </c>
      <c r="H6" s="14" t="s">
        <v>3</v>
      </c>
      <c r="I6" s="1"/>
    </row>
    <row r="7" spans="1:9" x14ac:dyDescent="0.25">
      <c r="A7" s="1"/>
      <c r="B7" s="59"/>
      <c r="C7" s="60"/>
      <c r="D7" s="60"/>
      <c r="E7" s="60"/>
      <c r="F7" s="60"/>
      <c r="G7" s="60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55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45</v>
      </c>
      <c r="C10" s="114"/>
      <c r="D10" s="114"/>
      <c r="E10" s="114"/>
      <c r="F10" s="115"/>
      <c r="G10" s="24">
        <f>(G5-G6)*(1+'Fane 12. Nøgletal'!C9)</f>
        <v>14828776.658789892</v>
      </c>
      <c r="H10" s="14" t="s">
        <v>3</v>
      </c>
      <c r="I10" s="1"/>
    </row>
    <row r="11" spans="1:9" x14ac:dyDescent="0.25">
      <c r="A11" s="1"/>
      <c r="B11" s="119" t="s">
        <v>46</v>
      </c>
      <c r="C11" s="120"/>
      <c r="D11" s="120"/>
      <c r="E11" s="120"/>
      <c r="F11" s="121"/>
      <c r="G11" s="24">
        <v>0</v>
      </c>
      <c r="H11" s="14" t="s">
        <v>3</v>
      </c>
      <c r="I11" s="1"/>
    </row>
    <row r="12" spans="1:9" x14ac:dyDescent="0.25">
      <c r="A12" s="1"/>
      <c r="B12" s="113" t="s">
        <v>47</v>
      </c>
      <c r="C12" s="114"/>
      <c r="D12" s="114"/>
      <c r="E12" s="114"/>
      <c r="F12" s="115"/>
      <c r="G12" s="24">
        <f>(G10+G11)*'Fane 12. Nøgletal'!C29</f>
        <v>296575.53317579784</v>
      </c>
      <c r="H12" s="14" t="s">
        <v>3</v>
      </c>
      <c r="I12" s="1"/>
    </row>
    <row r="13" spans="1:9" x14ac:dyDescent="0.25">
      <c r="A13" s="1"/>
      <c r="B13" s="59"/>
      <c r="C13" s="60"/>
      <c r="D13" s="60"/>
      <c r="E13" s="60"/>
      <c r="F13" s="60"/>
      <c r="G13" s="60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6" t="s">
        <v>56</v>
      </c>
      <c r="C15" s="117"/>
      <c r="D15" s="117"/>
      <c r="E15" s="117"/>
      <c r="F15" s="117"/>
      <c r="G15" s="117"/>
      <c r="H15" s="118"/>
      <c r="I15" s="1"/>
    </row>
    <row r="16" spans="1:9" x14ac:dyDescent="0.25">
      <c r="A16" s="1"/>
      <c r="B16" s="113" t="s">
        <v>48</v>
      </c>
      <c r="C16" s="114"/>
      <c r="D16" s="114"/>
      <c r="E16" s="114"/>
      <c r="F16" s="115"/>
      <c r="G16" s="24">
        <f>(G10+G11-G12)*(1+'Fane 12. Nøgletal'!C11)</f>
        <v>14777795.32463697</v>
      </c>
      <c r="H16" s="14" t="s">
        <v>3</v>
      </c>
      <c r="I16" s="1"/>
    </row>
    <row r="17" spans="1:9" x14ac:dyDescent="0.25">
      <c r="A17" s="1"/>
      <c r="B17" s="113" t="s">
        <v>125</v>
      </c>
      <c r="C17" s="114"/>
      <c r="D17" s="114"/>
      <c r="E17" s="114"/>
      <c r="F17" s="115"/>
      <c r="G17" s="24">
        <v>-175024.21826345427</v>
      </c>
      <c r="H17" s="14" t="s">
        <v>3</v>
      </c>
      <c r="I17" s="1"/>
    </row>
    <row r="18" spans="1:9" x14ac:dyDescent="0.25">
      <c r="A18" s="1"/>
      <c r="B18" s="119" t="s">
        <v>49</v>
      </c>
      <c r="C18" s="120"/>
      <c r="D18" s="120"/>
      <c r="E18" s="120"/>
      <c r="F18" s="121"/>
      <c r="G18" s="24">
        <v>281487.40981248993</v>
      </c>
      <c r="H18" s="14" t="s">
        <v>3</v>
      </c>
      <c r="I18" s="1"/>
    </row>
    <row r="19" spans="1:9" x14ac:dyDescent="0.25">
      <c r="A19" s="1"/>
      <c r="B19" s="113" t="s">
        <v>50</v>
      </c>
      <c r="C19" s="114"/>
      <c r="D19" s="114"/>
      <c r="E19" s="114"/>
      <c r="F19" s="115"/>
      <c r="G19" s="24">
        <f>SUM(G16:G18)*'Fane 12. Nøgletal'!C29</f>
        <v>297685.17032372009</v>
      </c>
      <c r="H19" s="14" t="s">
        <v>3</v>
      </c>
      <c r="I19" s="1"/>
    </row>
    <row r="20" spans="1:9" x14ac:dyDescent="0.25">
      <c r="A20" s="1"/>
      <c r="B20" s="59"/>
      <c r="C20" s="60"/>
      <c r="D20" s="60"/>
      <c r="E20" s="60"/>
      <c r="F20" s="60"/>
      <c r="G20" s="60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6" t="s">
        <v>57</v>
      </c>
      <c r="C22" s="117"/>
      <c r="D22" s="117"/>
      <c r="E22" s="117"/>
      <c r="F22" s="117"/>
      <c r="G22" s="117"/>
      <c r="H22" s="118"/>
      <c r="I22" s="1"/>
    </row>
    <row r="23" spans="1:9" x14ac:dyDescent="0.25">
      <c r="A23" s="1"/>
      <c r="B23" s="113" t="s">
        <v>51</v>
      </c>
      <c r="C23" s="114"/>
      <c r="D23" s="114"/>
      <c r="E23" s="114"/>
      <c r="F23" s="115"/>
      <c r="G23" s="24">
        <f>(SUM(G16:G18)-G19)*(1+'Fane 12. Nøgletal'!C11)</f>
        <v>14833086.435407355</v>
      </c>
      <c r="H23" s="14" t="s">
        <v>3</v>
      </c>
      <c r="I23" s="1"/>
    </row>
    <row r="24" spans="1:9" x14ac:dyDescent="0.25">
      <c r="A24" s="1"/>
      <c r="B24" s="119" t="s">
        <v>52</v>
      </c>
      <c r="C24" s="120"/>
      <c r="D24" s="120"/>
      <c r="E24" s="120"/>
      <c r="F24" s="121"/>
      <c r="G24" s="24">
        <v>-225386.97220148455</v>
      </c>
      <c r="H24" s="14" t="s">
        <v>3</v>
      </c>
      <c r="I24" s="1"/>
    </row>
    <row r="25" spans="1:9" x14ac:dyDescent="0.25">
      <c r="A25" s="1"/>
      <c r="B25" s="113" t="s">
        <v>53</v>
      </c>
      <c r="C25" s="114"/>
      <c r="D25" s="114"/>
      <c r="E25" s="114"/>
      <c r="F25" s="115"/>
      <c r="G25" s="24">
        <f>(G23+G24)*'Fane 12. Nøgletal'!C29</f>
        <v>292153.98926411744</v>
      </c>
      <c r="H25" s="14" t="s">
        <v>3</v>
      </c>
      <c r="I25" s="1"/>
    </row>
    <row r="26" spans="1:9" x14ac:dyDescent="0.25">
      <c r="A26" s="1"/>
      <c r="B26" s="59"/>
      <c r="C26" s="60"/>
      <c r="D26" s="60"/>
      <c r="E26" s="60"/>
      <c r="F26" s="60"/>
      <c r="G26" s="60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6" t="s">
        <v>175</v>
      </c>
      <c r="C28" s="117"/>
      <c r="D28" s="117"/>
      <c r="E28" s="117"/>
      <c r="F28" s="117"/>
      <c r="G28" s="117"/>
      <c r="H28" s="118"/>
      <c r="I28" s="1"/>
    </row>
    <row r="29" spans="1:9" x14ac:dyDescent="0.25">
      <c r="A29" s="1"/>
      <c r="B29" s="113" t="s">
        <v>60</v>
      </c>
      <c r="C29" s="114"/>
      <c r="D29" s="114"/>
      <c r="E29" s="114"/>
      <c r="F29" s="115"/>
      <c r="G29" s="24">
        <f>(G23+G24-G25)*(1+'Fane 12. Nøgletal'!C13)</f>
        <v>14490195.128723841</v>
      </c>
      <c r="H29" s="14" t="s">
        <v>3</v>
      </c>
      <c r="I29" s="1"/>
    </row>
    <row r="30" spans="1:9" x14ac:dyDescent="0.25">
      <c r="A30" s="1"/>
      <c r="B30" s="113" t="s">
        <v>147</v>
      </c>
      <c r="C30" s="114"/>
      <c r="D30" s="114"/>
      <c r="E30" s="114"/>
      <c r="F30" s="115"/>
      <c r="G30" s="24">
        <f>SUM('Fane 3. Omkostninger i ØR2021'!E10,'Fane 3. Omkostninger i ØR2021'!E12,'Fane 3. Omkostninger i ØR2021'!E14)*(1+'Fane 12. Nøgletal'!C13)</f>
        <v>563243.67569231999</v>
      </c>
      <c r="H30" s="14" t="s">
        <v>3</v>
      </c>
      <c r="I30" s="1"/>
    </row>
    <row r="31" spans="1:9" x14ac:dyDescent="0.25">
      <c r="A31" s="1"/>
      <c r="B31" s="113" t="s">
        <v>159</v>
      </c>
      <c r="C31" s="114"/>
      <c r="D31" s="114"/>
      <c r="E31" s="114"/>
      <c r="F31" s="115"/>
      <c r="G31" s="24">
        <f>(G29+G30)*'Fane 12. Nøgletal'!C29</f>
        <v>301068.77608832321</v>
      </c>
      <c r="H31" s="14" t="s">
        <v>3</v>
      </c>
      <c r="I31" s="1"/>
    </row>
    <row r="32" spans="1:9" x14ac:dyDescent="0.25">
      <c r="A32" s="1"/>
      <c r="B32" s="59"/>
      <c r="C32" s="60"/>
      <c r="D32" s="60"/>
      <c r="E32" s="60"/>
      <c r="F32" s="60"/>
      <c r="G32" s="60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6" t="s">
        <v>176</v>
      </c>
      <c r="C34" s="117"/>
      <c r="D34" s="117"/>
      <c r="E34" s="117"/>
      <c r="F34" s="117"/>
      <c r="G34" s="117"/>
      <c r="H34" s="118"/>
      <c r="I34" s="1"/>
    </row>
    <row r="35" spans="1:9" x14ac:dyDescent="0.25">
      <c r="A35" s="1"/>
      <c r="B35" s="113" t="s">
        <v>80</v>
      </c>
      <c r="C35" s="114"/>
      <c r="D35" s="114"/>
      <c r="E35" s="114"/>
      <c r="F35" s="115"/>
      <c r="G35" s="24">
        <f>(G29+G30-G31)*(1+'Fane 12. Nøgletal'!C13)</f>
        <v>14932348.942673437</v>
      </c>
      <c r="H35" s="14" t="s">
        <v>3</v>
      </c>
      <c r="I35" s="1"/>
    </row>
    <row r="36" spans="1:9" x14ac:dyDescent="0.25">
      <c r="A36" s="1"/>
      <c r="B36" s="37" t="s">
        <v>193</v>
      </c>
      <c r="C36" s="65"/>
      <c r="D36" s="65"/>
      <c r="E36" s="65"/>
      <c r="F36" s="66"/>
      <c r="G36" s="24">
        <f>SUM('Fane 2.1. Økonomisk ramme 2022'!C10)*(1+'Fane 12. Nøgletal'!C14)</f>
        <v>553800.33222566254</v>
      </c>
      <c r="H36" s="14" t="s">
        <v>3</v>
      </c>
      <c r="I36" s="1"/>
    </row>
    <row r="37" spans="1:9" x14ac:dyDescent="0.25">
      <c r="A37" s="1"/>
      <c r="B37" s="113" t="s">
        <v>222</v>
      </c>
      <c r="C37" s="114"/>
      <c r="D37" s="114"/>
      <c r="E37" s="114"/>
      <c r="F37" s="115"/>
      <c r="G37" s="24">
        <f>SUM('Fane 2.1. Økonomisk ramme 2022'!C12,'Fane 2.1. Økonomisk ramme 2022'!C14,'Fane 2.1. Økonomisk ramme 2022'!C16)*(1+'Fane 12. Nøgletal'!C14)</f>
        <v>8331.7183365300025</v>
      </c>
      <c r="H37" s="14" t="s">
        <v>3</v>
      </c>
      <c r="I37" s="1"/>
    </row>
    <row r="38" spans="1:9" x14ac:dyDescent="0.25">
      <c r="A38" s="1"/>
      <c r="B38" s="113" t="s">
        <v>177</v>
      </c>
      <c r="C38" s="114"/>
      <c r="D38" s="114"/>
      <c r="E38" s="114"/>
      <c r="F38" s="115"/>
      <c r="G38" s="24">
        <f>(G35+G37)*'Fane 12. Nøgletal'!C29</f>
        <v>298813.61322019936</v>
      </c>
      <c r="H38" s="14" t="s">
        <v>3</v>
      </c>
      <c r="I38" s="1"/>
    </row>
    <row r="39" spans="1:9" x14ac:dyDescent="0.25">
      <c r="A39" s="1"/>
      <c r="B39" s="59"/>
      <c r="C39" s="60"/>
      <c r="D39" s="60"/>
      <c r="E39" s="60"/>
      <c r="F39" s="60"/>
      <c r="G39" s="60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6" t="s">
        <v>81</v>
      </c>
      <c r="C41" s="117"/>
      <c r="D41" s="117"/>
      <c r="E41" s="117"/>
      <c r="F41" s="117"/>
      <c r="G41" s="117"/>
      <c r="H41" s="118"/>
      <c r="I41" s="1"/>
    </row>
    <row r="42" spans="1:9" x14ac:dyDescent="0.25">
      <c r="A42" s="1"/>
      <c r="B42" s="113" t="s">
        <v>79</v>
      </c>
      <c r="C42" s="114"/>
      <c r="D42" s="114"/>
      <c r="E42" s="114"/>
      <c r="F42" s="115"/>
      <c r="G42" s="24">
        <f>(G35+G37-G38)*(1+'Fane 12. Nøgletal'!C14)</f>
        <v>14690185.209047474</v>
      </c>
      <c r="H42" s="14" t="s">
        <v>3</v>
      </c>
      <c r="I42" s="1"/>
    </row>
    <row r="43" spans="1:9" x14ac:dyDescent="0.25">
      <c r="A43" s="1"/>
      <c r="B43" s="113" t="s">
        <v>92</v>
      </c>
      <c r="C43" s="114"/>
      <c r="D43" s="114"/>
      <c r="E43" s="114"/>
      <c r="F43" s="115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3" t="s">
        <v>61</v>
      </c>
      <c r="C44" s="114"/>
      <c r="D44" s="114"/>
      <c r="E44" s="114"/>
      <c r="F44" s="115"/>
      <c r="G44" s="24">
        <f>(G42+G43)*'Fane 12. Nøgletal'!C29</f>
        <v>293803.70418094948</v>
      </c>
      <c r="H44" s="14" t="s">
        <v>3</v>
      </c>
      <c r="I44" s="1"/>
    </row>
    <row r="45" spans="1:9" x14ac:dyDescent="0.25">
      <c r="A45" s="1"/>
      <c r="B45" s="59"/>
      <c r="C45" s="60"/>
      <c r="D45" s="60"/>
      <c r="E45" s="60"/>
      <c r="F45" s="60"/>
      <c r="G45" s="60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6" t="s">
        <v>148</v>
      </c>
      <c r="C47" s="117"/>
      <c r="D47" s="117"/>
      <c r="E47" s="117"/>
      <c r="F47" s="117"/>
      <c r="G47" s="117"/>
      <c r="H47" s="118"/>
      <c r="I47" s="1"/>
    </row>
    <row r="48" spans="1:9" x14ac:dyDescent="0.25">
      <c r="A48" s="1"/>
      <c r="B48" s="113" t="s">
        <v>149</v>
      </c>
      <c r="C48" s="114"/>
      <c r="D48" s="114"/>
      <c r="E48" s="114"/>
      <c r="F48" s="115"/>
      <c r="G48" s="24">
        <f>(G42+G43-G44)*(1+'Fane 12. Nøgletal'!C14)</f>
        <v>14443889.563832585</v>
      </c>
      <c r="H48" s="14" t="s">
        <v>3</v>
      </c>
      <c r="I48" s="1"/>
    </row>
    <row r="49" spans="1:9" x14ac:dyDescent="0.25">
      <c r="A49" s="1"/>
      <c r="B49" s="113" t="s">
        <v>150</v>
      </c>
      <c r="C49" s="114"/>
      <c r="D49" s="114"/>
      <c r="E49" s="114"/>
      <c r="F49" s="115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3" t="s">
        <v>151</v>
      </c>
      <c r="C50" s="114"/>
      <c r="D50" s="114"/>
      <c r="E50" s="114"/>
      <c r="F50" s="115"/>
      <c r="G50" s="24">
        <f>(G48+G49)*'Fane 12. Nøgletal'!C29</f>
        <v>288877.79127665173</v>
      </c>
      <c r="H50" s="14" t="s">
        <v>3</v>
      </c>
      <c r="I50" s="1"/>
    </row>
    <row r="51" spans="1:9" x14ac:dyDescent="0.25">
      <c r="A51" s="1"/>
      <c r="B51" s="59"/>
      <c r="C51" s="60"/>
      <c r="D51" s="60"/>
      <c r="E51" s="60"/>
      <c r="F51" s="60"/>
      <c r="G51" s="60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6" t="s">
        <v>199</v>
      </c>
      <c r="C53" s="117"/>
      <c r="D53" s="117"/>
      <c r="E53" s="117"/>
      <c r="F53" s="117"/>
      <c r="G53" s="117"/>
      <c r="H53" s="118"/>
      <c r="I53" s="1"/>
    </row>
    <row r="54" spans="1:9" x14ac:dyDescent="0.25">
      <c r="A54" s="1"/>
      <c r="B54" s="113" t="s">
        <v>200</v>
      </c>
      <c r="C54" s="114"/>
      <c r="D54" s="114"/>
      <c r="E54" s="114"/>
      <c r="F54" s="115"/>
      <c r="G54" s="24">
        <f>(G48+G49-G50)*(1+'Fane 12. Nøgletal'!C14)</f>
        <v>14201723.311405368</v>
      </c>
      <c r="H54" s="14" t="s">
        <v>3</v>
      </c>
      <c r="I54" s="1"/>
    </row>
    <row r="55" spans="1:9" x14ac:dyDescent="0.25">
      <c r="A55" s="1"/>
      <c r="B55" s="113" t="s">
        <v>201</v>
      </c>
      <c r="C55" s="114"/>
      <c r="D55" s="114"/>
      <c r="E55" s="114"/>
      <c r="F55" s="115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3" t="s">
        <v>202</v>
      </c>
      <c r="C56" s="114"/>
      <c r="D56" s="114"/>
      <c r="E56" s="114"/>
      <c r="F56" s="115"/>
      <c r="G56" s="24">
        <f>(G54+G55)*'Fane 12. Nøgletal'!C29</f>
        <v>284034.4662281074</v>
      </c>
      <c r="H56" s="14" t="s">
        <v>3</v>
      </c>
      <c r="I56" s="1"/>
    </row>
    <row r="57" spans="1:9" x14ac:dyDescent="0.25">
      <c r="A57" s="1"/>
      <c r="B57" s="59"/>
      <c r="C57" s="60"/>
      <c r="D57" s="60"/>
      <c r="E57" s="60"/>
      <c r="F57" s="60"/>
      <c r="G57" s="60"/>
      <c r="H57" s="20"/>
      <c r="I57" s="1"/>
    </row>
  </sheetData>
  <sheetProtection algorithmName="SHA-512" hashValue="j0H8XkU3cbEUtuj7TS6iG9u/goXqmS9jox91/mMUj6GLRGcPARtmt4/7VF5gkepdf2uWaPgn93vaoGhAdugp/g==" saltValue="FuN9t3BVhsgpV/OKWpxOHA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39"/>
      <c r="D1" s="139"/>
      <c r="E1" s="139"/>
      <c r="F1" s="139"/>
      <c r="G1" s="139"/>
      <c r="H1" s="139"/>
      <c r="I1" s="1"/>
    </row>
    <row r="2" spans="1:9" ht="19.899999999999999" customHeight="1" x14ac:dyDescent="0.25">
      <c r="A2" s="1"/>
      <c r="B2" s="139"/>
      <c r="C2" s="139"/>
      <c r="D2" s="139"/>
      <c r="E2" s="139"/>
      <c r="F2" s="139"/>
      <c r="G2" s="139"/>
      <c r="H2" s="139"/>
      <c r="I2" s="1"/>
    </row>
    <row r="3" spans="1:9" ht="15" customHeight="1" x14ac:dyDescent="0.25">
      <c r="A3" s="1"/>
      <c r="B3" s="140"/>
      <c r="C3" s="140"/>
      <c r="D3" s="140"/>
      <c r="E3" s="140"/>
      <c r="F3" s="140"/>
      <c r="G3" s="140"/>
      <c r="H3" s="140"/>
      <c r="I3" s="1"/>
    </row>
    <row r="4" spans="1:9" x14ac:dyDescent="0.25">
      <c r="A4" s="1"/>
      <c r="B4" s="116" t="s">
        <v>58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62</v>
      </c>
      <c r="C5" s="114"/>
      <c r="D5" s="114"/>
      <c r="E5" s="114"/>
      <c r="F5" s="115"/>
      <c r="G5" s="24">
        <v>11769938.010773305</v>
      </c>
      <c r="H5" s="14" t="s">
        <v>3</v>
      </c>
      <c r="I5" s="1"/>
    </row>
    <row r="6" spans="1:9" x14ac:dyDescent="0.25">
      <c r="A6" s="1"/>
      <c r="B6" s="113" t="s">
        <v>59</v>
      </c>
      <c r="C6" s="114"/>
      <c r="D6" s="114"/>
      <c r="E6" s="114"/>
      <c r="F6" s="115"/>
      <c r="G6" s="24">
        <f>G5*'Fane 12. Nøgletal'!C19</f>
        <v>107106.43589803707</v>
      </c>
      <c r="H6" s="14" t="s">
        <v>3</v>
      </c>
      <c r="I6" s="1"/>
    </row>
    <row r="7" spans="1:9" x14ac:dyDescent="0.25">
      <c r="A7" s="1"/>
      <c r="B7" s="59"/>
      <c r="C7" s="60"/>
      <c r="D7" s="60"/>
      <c r="E7" s="60"/>
      <c r="F7" s="60"/>
      <c r="G7" s="60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63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64</v>
      </c>
      <c r="C10" s="114"/>
      <c r="D10" s="114"/>
      <c r="E10" s="114"/>
      <c r="F10" s="115"/>
      <c r="G10" s="24">
        <f>(G5-G6)*(1+'Fane 12. Nøgletal'!C9)</f>
        <v>11810949.535876183</v>
      </c>
      <c r="H10" s="14" t="s">
        <v>3</v>
      </c>
      <c r="I10" s="1"/>
    </row>
    <row r="11" spans="1:9" x14ac:dyDescent="0.25">
      <c r="A11" s="1"/>
      <c r="B11" s="119" t="s">
        <v>65</v>
      </c>
      <c r="C11" s="120"/>
      <c r="D11" s="120"/>
      <c r="E11" s="120"/>
      <c r="F11" s="121"/>
      <c r="G11" s="24">
        <v>0</v>
      </c>
      <c r="H11" s="14" t="s">
        <v>3</v>
      </c>
      <c r="I11" s="1"/>
    </row>
    <row r="12" spans="1:9" x14ac:dyDescent="0.25">
      <c r="A12" s="1"/>
      <c r="B12" s="113" t="s">
        <v>66</v>
      </c>
      <c r="C12" s="114"/>
      <c r="D12" s="114"/>
      <c r="E12" s="114"/>
      <c r="F12" s="115"/>
      <c r="G12" s="24">
        <f>G10*'Fane 12. Nøgletal'!C19+G11*'Fane 12. Nøgletal'!C20</f>
        <v>107479.64077647327</v>
      </c>
      <c r="H12" s="14" t="s">
        <v>3</v>
      </c>
      <c r="I12" s="1"/>
    </row>
    <row r="13" spans="1:9" x14ac:dyDescent="0.25">
      <c r="A13" s="1"/>
      <c r="B13" s="59"/>
      <c r="C13" s="60"/>
      <c r="D13" s="60"/>
      <c r="E13" s="60"/>
      <c r="F13" s="60"/>
      <c r="G13" s="60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6" t="s">
        <v>67</v>
      </c>
      <c r="C15" s="117"/>
      <c r="D15" s="117"/>
      <c r="E15" s="117"/>
      <c r="F15" s="117"/>
      <c r="G15" s="117"/>
      <c r="H15" s="118"/>
      <c r="I15" s="1"/>
    </row>
    <row r="16" spans="1:9" x14ac:dyDescent="0.25">
      <c r="A16" s="1"/>
      <c r="B16" s="113" t="s">
        <v>68</v>
      </c>
      <c r="C16" s="114"/>
      <c r="D16" s="114"/>
      <c r="E16" s="114"/>
      <c r="F16" s="115"/>
      <c r="G16" s="24">
        <f>(G10+G11-G12)*(1+'Fane 12. Nøgletal'!C11)</f>
        <v>11901258.536326893</v>
      </c>
      <c r="H16" s="14" t="s">
        <v>3</v>
      </c>
      <c r="I16" s="1"/>
    </row>
    <row r="17" spans="1:9" x14ac:dyDescent="0.25">
      <c r="A17" s="1"/>
      <c r="B17" s="113" t="s">
        <v>126</v>
      </c>
      <c r="C17" s="114"/>
      <c r="D17" s="114"/>
      <c r="E17" s="114"/>
      <c r="F17" s="115"/>
      <c r="G17" s="24">
        <v>184015.40054029608</v>
      </c>
      <c r="H17" s="14" t="s">
        <v>3</v>
      </c>
      <c r="I17" s="1"/>
    </row>
    <row r="18" spans="1:9" x14ac:dyDescent="0.25">
      <c r="A18" s="1"/>
      <c r="B18" s="119" t="s">
        <v>69</v>
      </c>
      <c r="C18" s="120"/>
      <c r="D18" s="120"/>
      <c r="E18" s="120"/>
      <c r="F18" s="121"/>
      <c r="G18" s="24">
        <v>10650.047697389997</v>
      </c>
      <c r="H18" s="14" t="s">
        <v>3</v>
      </c>
      <c r="I18" s="1"/>
    </row>
    <row r="19" spans="1:9" x14ac:dyDescent="0.25">
      <c r="A19" s="1"/>
      <c r="B19" s="113" t="s">
        <v>70</v>
      </c>
      <c r="C19" s="114"/>
      <c r="D19" s="114"/>
      <c r="E19" s="114"/>
      <c r="F19" s="115"/>
      <c r="G19" s="24">
        <f>(G16+G17+G18)*'Fane 12. Nøgletal'!C21</f>
        <v>105234.53866571182</v>
      </c>
      <c r="H19" s="14" t="s">
        <v>3</v>
      </c>
      <c r="I19" s="1"/>
    </row>
    <row r="20" spans="1:9" x14ac:dyDescent="0.25">
      <c r="A20" s="1"/>
      <c r="B20" s="59"/>
      <c r="C20" s="60"/>
      <c r="D20" s="60"/>
      <c r="E20" s="60"/>
      <c r="F20" s="60"/>
      <c r="G20" s="60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6" t="s">
        <v>71</v>
      </c>
      <c r="C22" s="117"/>
      <c r="D22" s="117"/>
      <c r="E22" s="117"/>
      <c r="F22" s="117"/>
      <c r="G22" s="117"/>
      <c r="H22" s="118"/>
      <c r="I22" s="1"/>
    </row>
    <row r="23" spans="1:9" x14ac:dyDescent="0.25">
      <c r="A23" s="1"/>
      <c r="B23" s="113" t="s">
        <v>72</v>
      </c>
      <c r="C23" s="114"/>
      <c r="D23" s="114"/>
      <c r="E23" s="114"/>
      <c r="F23" s="115"/>
      <c r="G23" s="24">
        <f>(SUM(G16:G18)-G19)*(1+'Fane 12. Nøgletal'!C11)</f>
        <v>12193332.097534556</v>
      </c>
      <c r="H23" s="14" t="s">
        <v>3</v>
      </c>
      <c r="I23" s="1"/>
    </row>
    <row r="24" spans="1:9" x14ac:dyDescent="0.25">
      <c r="A24" s="1"/>
      <c r="B24" s="119" t="s">
        <v>73</v>
      </c>
      <c r="C24" s="120"/>
      <c r="D24" s="120"/>
      <c r="E24" s="120"/>
      <c r="F24" s="121"/>
      <c r="G24" s="24">
        <v>239726.46835202377</v>
      </c>
      <c r="H24" s="14" t="s">
        <v>3</v>
      </c>
      <c r="I24" s="1"/>
    </row>
    <row r="25" spans="1:9" x14ac:dyDescent="0.25">
      <c r="A25" s="1"/>
      <c r="B25" s="113" t="s">
        <v>74</v>
      </c>
      <c r="C25" s="114"/>
      <c r="D25" s="114"/>
      <c r="E25" s="114"/>
      <c r="F25" s="115"/>
      <c r="G25" s="24">
        <f>G23*'Fane 12. Nøgletal'!C21+G24*'Fane 12. Nøgletal'!C22</f>
        <v>112890.22094974811</v>
      </c>
      <c r="H25" s="14" t="s">
        <v>3</v>
      </c>
      <c r="I25" s="1"/>
    </row>
    <row r="26" spans="1:9" x14ac:dyDescent="0.25">
      <c r="A26" s="1"/>
      <c r="B26" s="59"/>
      <c r="C26" s="60"/>
      <c r="D26" s="60"/>
      <c r="E26" s="60"/>
      <c r="F26" s="60"/>
      <c r="G26" s="60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6" t="s">
        <v>173</v>
      </c>
      <c r="C28" s="117"/>
      <c r="D28" s="117"/>
      <c r="E28" s="117"/>
      <c r="F28" s="117"/>
      <c r="G28" s="117"/>
      <c r="H28" s="118"/>
      <c r="I28" s="1"/>
    </row>
    <row r="29" spans="1:9" x14ac:dyDescent="0.25">
      <c r="A29" s="1"/>
      <c r="B29" s="113" t="s">
        <v>75</v>
      </c>
      <c r="C29" s="114"/>
      <c r="D29" s="114"/>
      <c r="E29" s="114"/>
      <c r="F29" s="115"/>
      <c r="G29" s="24">
        <f>(G23+G24-G25)*(1+'Fane 12. Nøgletal'!C13)</f>
        <v>12470474.39874506</v>
      </c>
      <c r="H29" s="14" t="s">
        <v>3</v>
      </c>
      <c r="I29" s="1"/>
    </row>
    <row r="30" spans="1:9" x14ac:dyDescent="0.25">
      <c r="A30" s="1"/>
      <c r="B30" s="113" t="s">
        <v>152</v>
      </c>
      <c r="C30" s="114"/>
      <c r="D30" s="114"/>
      <c r="E30" s="114"/>
      <c r="F30" s="115"/>
      <c r="G30" s="24">
        <v>689447.60180352</v>
      </c>
      <c r="H30" s="14" t="s">
        <v>3</v>
      </c>
      <c r="I30" s="1"/>
    </row>
    <row r="31" spans="1:9" x14ac:dyDescent="0.25">
      <c r="A31" s="1"/>
      <c r="B31" s="113" t="s">
        <v>174</v>
      </c>
      <c r="C31" s="114"/>
      <c r="D31" s="114"/>
      <c r="E31" s="114"/>
      <c r="F31" s="115"/>
      <c r="G31" s="24">
        <f>(G29+G30)*'Fane 12. Nøgletal'!C23</f>
        <v>361897.85501508595</v>
      </c>
      <c r="H31" s="14" t="s">
        <v>3</v>
      </c>
      <c r="I31" s="1"/>
    </row>
    <row r="32" spans="1:9" x14ac:dyDescent="0.25">
      <c r="A32" s="1"/>
      <c r="B32" s="59"/>
      <c r="C32" s="60"/>
      <c r="D32" s="60"/>
      <c r="E32" s="60"/>
      <c r="F32" s="60"/>
      <c r="G32" s="60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6" t="s">
        <v>178</v>
      </c>
      <c r="C34" s="117"/>
      <c r="D34" s="117"/>
      <c r="E34" s="117"/>
      <c r="F34" s="117"/>
      <c r="G34" s="117"/>
      <c r="H34" s="118"/>
      <c r="I34" s="1"/>
    </row>
    <row r="35" spans="1:9" x14ac:dyDescent="0.25">
      <c r="A35" s="1"/>
      <c r="B35" s="113" t="s">
        <v>78</v>
      </c>
      <c r="C35" s="114"/>
      <c r="D35" s="114"/>
      <c r="E35" s="114"/>
      <c r="F35" s="115"/>
      <c r="G35" s="24">
        <f>(G29+G30-G31)*(1+'Fane 12. Nøgletal'!C13)</f>
        <v>12954160.040109003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672700.40247001126</v>
      </c>
      <c r="H36" s="14" t="s">
        <v>3</v>
      </c>
      <c r="I36" s="38"/>
    </row>
    <row r="37" spans="1:9" x14ac:dyDescent="0.25">
      <c r="A37" s="1"/>
      <c r="B37" s="113" t="s">
        <v>194</v>
      </c>
      <c r="C37" s="114"/>
      <c r="D37" s="114"/>
      <c r="E37" s="114"/>
      <c r="F37" s="115"/>
      <c r="G37" s="24">
        <f>SUM('Fane 2.1. Økonomisk ramme 2022'!C13,'Fane 2.1. Økonomisk ramme 2022'!C15,'Fane 2.1. Økonomisk ramme 2022'!C17)*(1+'Fane 12. Nøgletal'!C14)</f>
        <v>1135423.8657606302</v>
      </c>
      <c r="H37" s="14" t="s">
        <v>3</v>
      </c>
      <c r="I37" s="1"/>
    </row>
    <row r="38" spans="1:9" x14ac:dyDescent="0.25">
      <c r="A38" s="1"/>
      <c r="B38" s="113" t="s">
        <v>179</v>
      </c>
      <c r="C38" s="114"/>
      <c r="D38" s="114"/>
      <c r="E38" s="114"/>
      <c r="F38" s="115"/>
      <c r="G38" s="24">
        <f>G35*'Fane 12. Nøgletal'!C23+G37*'Fane 12. Nøgletal'!C24</f>
        <v>373043.67431625491</v>
      </c>
      <c r="H38" s="14" t="s">
        <v>3</v>
      </c>
      <c r="I38" s="1"/>
    </row>
    <row r="39" spans="1:9" x14ac:dyDescent="0.25">
      <c r="A39" s="1"/>
      <c r="B39" s="59"/>
      <c r="C39" s="60"/>
      <c r="D39" s="60"/>
      <c r="E39" s="60"/>
      <c r="F39" s="60"/>
      <c r="G39" s="60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6" t="s">
        <v>82</v>
      </c>
      <c r="C41" s="117"/>
      <c r="D41" s="117"/>
      <c r="E41" s="117"/>
      <c r="F41" s="117"/>
      <c r="G41" s="117"/>
      <c r="H41" s="118"/>
      <c r="I41" s="1"/>
    </row>
    <row r="42" spans="1:9" x14ac:dyDescent="0.25">
      <c r="A42" s="1"/>
      <c r="B42" s="113" t="s">
        <v>77</v>
      </c>
      <c r="C42" s="114"/>
      <c r="D42" s="114"/>
      <c r="E42" s="114"/>
      <c r="F42" s="115"/>
      <c r="G42" s="24">
        <f>(G35+G37-G38)*(1+'Fane 12. Nøgletal'!C14)</f>
        <v>13761804.814317504</v>
      </c>
      <c r="H42" s="14" t="s">
        <v>3</v>
      </c>
      <c r="I42" s="1"/>
    </row>
    <row r="43" spans="1:9" x14ac:dyDescent="0.25">
      <c r="A43" s="1"/>
      <c r="B43" s="113" t="s">
        <v>96</v>
      </c>
      <c r="C43" s="114"/>
      <c r="D43" s="114"/>
      <c r="E43" s="114"/>
      <c r="F43" s="115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3" t="s">
        <v>76</v>
      </c>
      <c r="C44" s="114"/>
      <c r="D44" s="114"/>
      <c r="E44" s="114"/>
      <c r="F44" s="115"/>
      <c r="G44" s="24">
        <f>(G42+G43)*'Fane 12. Nøgletal'!C24</f>
        <v>203674.71125189908</v>
      </c>
      <c r="H44" s="14" t="s">
        <v>3</v>
      </c>
      <c r="I44" s="1"/>
    </row>
    <row r="45" spans="1:9" x14ac:dyDescent="0.25">
      <c r="A45" s="1"/>
      <c r="B45" s="59"/>
      <c r="C45" s="60"/>
      <c r="D45" s="60"/>
      <c r="E45" s="60"/>
      <c r="F45" s="60"/>
      <c r="G45" s="60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6" t="s">
        <v>153</v>
      </c>
      <c r="C47" s="117"/>
      <c r="D47" s="117"/>
      <c r="E47" s="117"/>
      <c r="F47" s="117"/>
      <c r="G47" s="117"/>
      <c r="H47" s="118"/>
      <c r="I47" s="1"/>
    </row>
    <row r="48" spans="1:9" x14ac:dyDescent="0.25">
      <c r="A48" s="1"/>
      <c r="B48" s="113" t="s">
        <v>154</v>
      </c>
      <c r="C48" s="114"/>
      <c r="D48" s="114"/>
      <c r="E48" s="114"/>
      <c r="F48" s="115"/>
      <c r="G48" s="24">
        <f>(G42+G43-G44)*(1+'Fane 12. Nøgletal'!C14)</f>
        <v>13602871.932405721</v>
      </c>
      <c r="H48" s="14" t="s">
        <v>3</v>
      </c>
      <c r="I48" s="1"/>
    </row>
    <row r="49" spans="1:9" x14ac:dyDescent="0.25">
      <c r="A49" s="1"/>
      <c r="B49" s="113" t="s">
        <v>155</v>
      </c>
      <c r="C49" s="114"/>
      <c r="D49" s="114"/>
      <c r="E49" s="114"/>
      <c r="F49" s="115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3" t="s">
        <v>156</v>
      </c>
      <c r="C50" s="114"/>
      <c r="D50" s="114"/>
      <c r="E50" s="114"/>
      <c r="F50" s="115"/>
      <c r="G50" s="24">
        <f>(G48+G49)*'Fane 12. Nøgletal'!C24</f>
        <v>201322.5045996047</v>
      </c>
      <c r="H50" s="14" t="s">
        <v>3</v>
      </c>
      <c r="I50" s="1"/>
    </row>
    <row r="51" spans="1:9" x14ac:dyDescent="0.25">
      <c r="A51" s="1"/>
      <c r="B51" s="59"/>
      <c r="C51" s="60"/>
      <c r="D51" s="60"/>
      <c r="E51" s="60"/>
      <c r="F51" s="60"/>
      <c r="G51" s="60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6" t="s">
        <v>195</v>
      </c>
      <c r="C53" s="117"/>
      <c r="D53" s="117"/>
      <c r="E53" s="117"/>
      <c r="F53" s="117"/>
      <c r="G53" s="117"/>
      <c r="H53" s="118"/>
      <c r="I53" s="1"/>
    </row>
    <row r="54" spans="1:9" x14ac:dyDescent="0.25">
      <c r="A54" s="1"/>
      <c r="B54" s="113" t="s">
        <v>196</v>
      </c>
      <c r="C54" s="114"/>
      <c r="D54" s="114"/>
      <c r="E54" s="114"/>
      <c r="F54" s="115"/>
      <c r="G54" s="24">
        <f>(G48+G49-G50)*(1+'Fane 12. Nøgletal'!C14)</f>
        <v>13445774.540917877</v>
      </c>
      <c r="H54" s="14" t="s">
        <v>3</v>
      </c>
      <c r="I54" s="1"/>
    </row>
    <row r="55" spans="1:9" x14ac:dyDescent="0.25">
      <c r="A55" s="1"/>
      <c r="B55" s="113" t="s">
        <v>197</v>
      </c>
      <c r="C55" s="114"/>
      <c r="D55" s="114"/>
      <c r="E55" s="114"/>
      <c r="F55" s="115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3" t="s">
        <v>198</v>
      </c>
      <c r="C56" s="114"/>
      <c r="D56" s="114"/>
      <c r="E56" s="114"/>
      <c r="F56" s="115"/>
      <c r="G56" s="24">
        <f>(G54+G55)*'Fane 12. Nøgletal'!C24</f>
        <v>198997.46320558459</v>
      </c>
      <c r="H56" s="14" t="s">
        <v>3</v>
      </c>
      <c r="I56" s="1"/>
    </row>
    <row r="57" spans="1:9" x14ac:dyDescent="0.25">
      <c r="A57" s="1"/>
      <c r="B57" s="59"/>
      <c r="C57" s="60"/>
      <c r="D57" s="60"/>
      <c r="E57" s="60"/>
      <c r="F57" s="60"/>
      <c r="G57" s="60"/>
      <c r="H57" s="20"/>
      <c r="I57" s="1"/>
    </row>
  </sheetData>
  <sheetProtection algorithmName="SHA-512" hashValue="OTQDiBglazXwgOw8CdVOr7gU9X7UbfhHUx7VuKVzO21jSHP8KuALU/BpgUHR154a8sasF1hF2elnLhXHUTS4KQ==" saltValue="gmVDIyAzRmouvd4PasOy7A==" spinCount="100000" sheet="1" objects="1" scenarios="1"/>
  <mergeCells count="37"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48:F48"/>
    <mergeCell ref="B49:F49"/>
    <mergeCell ref="B50:F50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9</v>
      </c>
      <c r="C8" s="117"/>
      <c r="D8" s="117"/>
      <c r="E8" s="117"/>
      <c r="F8" s="117"/>
      <c r="G8" s="117"/>
      <c r="H8" s="118"/>
      <c r="I8" s="1"/>
    </row>
    <row r="9" spans="1:9" x14ac:dyDescent="0.25">
      <c r="A9" s="1"/>
      <c r="B9" s="113" t="s">
        <v>105</v>
      </c>
      <c r="C9" s="114"/>
      <c r="D9" s="114"/>
      <c r="E9" s="114"/>
      <c r="F9" s="115"/>
      <c r="G9" s="44">
        <v>1.5548815875560662E-3</v>
      </c>
      <c r="H9" s="14"/>
      <c r="I9" s="1"/>
    </row>
    <row r="10" spans="1:9" x14ac:dyDescent="0.25">
      <c r="A10" s="1"/>
      <c r="B10" s="113" t="s">
        <v>141</v>
      </c>
      <c r="C10" s="114"/>
      <c r="D10" s="114"/>
      <c r="E10" s="114"/>
      <c r="F10" s="115"/>
      <c r="G10" s="44">
        <v>0</v>
      </c>
      <c r="H10" s="14"/>
      <c r="I10" s="1"/>
    </row>
    <row r="11" spans="1:9" x14ac:dyDescent="0.25">
      <c r="A11" s="1"/>
      <c r="B11" s="59"/>
      <c r="C11" s="60"/>
      <c r="D11" s="60"/>
      <c r="E11" s="60"/>
      <c r="F11" s="60"/>
      <c r="G11" s="60"/>
      <c r="H11" s="20"/>
      <c r="I11" s="1"/>
    </row>
    <row r="12" spans="1:9" ht="14.25" customHeight="1" x14ac:dyDescent="0.25">
      <c r="A12" s="1"/>
      <c r="B12" s="123" t="s">
        <v>192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jrHsy5cWt5b4kAW0jwcwl0PKDoUfRbSLHtN0mx3zdn/WCMa2fOS3IO3+G6dH10AlaHZwVLij9lVpn1tIFwRXw==" saltValue="vRCvWDt6TS8X8MIeif3+B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2023-04-20T13:53:53Z</dcterms:modified>
</cp:coreProperties>
</file>