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Brønderslev Spildevand AS (S012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G35" i="36" l="1"/>
  <c r="G31" i="36"/>
  <c r="G11" i="36" l="1"/>
  <c r="G13" i="30"/>
  <c r="E16" i="40" l="1"/>
  <c r="E12" i="40"/>
  <c r="C13" i="19" l="1"/>
  <c r="E28" i="32" l="1"/>
  <c r="E32" i="32" l="1"/>
  <c r="C30" i="2" s="1"/>
  <c r="E38" i="32"/>
  <c r="E20" i="32"/>
  <c r="E12" i="32"/>
  <c r="E16" i="27" l="1"/>
  <c r="E17" i="27" s="1"/>
  <c r="E10" i="11" l="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E12" i="20"/>
  <c r="C24" i="2" s="1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11" i="11" l="1"/>
  <c r="C10" i="37" s="1"/>
  <c r="C13" i="37" s="1"/>
  <c r="G11" i="11"/>
  <c r="C14" i="37" l="1"/>
  <c r="C10" i="2" s="1"/>
  <c r="E11" i="21"/>
  <c r="E12" i="21" s="1"/>
  <c r="C11" i="21"/>
  <c r="C12" i="21" s="1"/>
  <c r="E11" i="29"/>
  <c r="E12" i="29" s="1"/>
  <c r="C11" i="29"/>
  <c r="C12" i="29" s="1"/>
  <c r="C14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1" i="11"/>
  <c r="E10" i="37" s="1"/>
  <c r="E13" i="37" s="1"/>
  <c r="E14" i="37" l="1"/>
  <c r="C11" i="2" s="1"/>
  <c r="G34" i="30"/>
  <c r="G38" i="30" l="1"/>
  <c r="G40" i="30" s="1"/>
  <c r="C18" i="2"/>
  <c r="C16" i="2"/>
  <c r="C17" i="2" s="1"/>
  <c r="G30" i="36"/>
  <c r="C19" i="2" s="1"/>
  <c r="G44" i="30" l="1"/>
  <c r="C14" i="15"/>
  <c r="C20" i="2"/>
  <c r="C33" i="2" s="1"/>
  <c r="C9" i="15" l="1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<sst xmlns="http://schemas.openxmlformats.org/spreadsheetml/2006/main" count="688" uniqueCount="276">
  <si>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</si>
  <si>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</si>
  <si>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</si>
  <si>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</si>
  <si>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</si>
  <si>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</si>
  <si>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</si>
  <si>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</si>
  <si>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</si>
  <si>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</si>
  <si>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</si>
  <si>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</si>
  <si>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</si>
  <si>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</si>
  <si>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</si>
  <si>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</si>
  <si>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</si>
  <si>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</si>
  <si>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</si>
  <si>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</si>
  <si>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</si>
  <si>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</si>
  <si>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</si>
  <si>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</si>
  <si>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</si>
  <si>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</si>
  <si>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</si>
  <si>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</si>
  <si>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</si>
  <si>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</si>
  <si>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</si>
  <si>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</si>
  <si>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</si>
  <si>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</si>
  <si>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</si>
  <si>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</si>
  <si>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</si>
  <si>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</si>
  <si>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</si>
  <si>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</si>
  <si>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</si>
  <si>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</si>
  <si>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</si>
  <si>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</si>
  <si>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</si>
  <si>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</si>
  <si>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</si>
  <si>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</si>
  <si>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</si>
  <si>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</si>
  <si>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</si>
  <si>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</si>
  <si>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</si>
  <si>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</si>
  <si>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</si>
  <si>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</si>
  <si>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</si>
  <si>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</si>
  <si>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</si>
  <si>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</si>
  <si>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</si>
  <si>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</si>
  <si>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</si>
  <si>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</si>
  <si>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</si>
  <si>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</si>
  <si>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</si>
  <si>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</si>
  <si>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</si>
  <si>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</si>
  <si>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</si>
  <si>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</si>
  <si>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</si>
  <si>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</si>
  <si>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</si>
  <si>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</si>
  <si>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</si>
  <si>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</si>
  <si>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</si>
  <si>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</si>
  <si>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</si>
  <si>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</si>
  <si>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</si>
  <si>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</si>
  <si>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</si>
  <si>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</si>
  <si>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</si>
  <si>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</si>
  <si>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</si>
  <si>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</si>
  <si>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</si>
  <si>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</si>
  <si>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</si>
  <si>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</si>
  <si>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</si>
  <si>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</si>
  <si>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</si>
  <si>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</si>
  <si>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</si>
  <si>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</si>
  <si>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</si>
  <si>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</si>
  <si>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</si>
  <si>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</si>
  <si>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</si>
  <si>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</si>
  <si>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</si>
  <si>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</si>
  <si>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</si>
  <si>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</si>
  <si>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</si>
  <si>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</si>
  <si>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</si>
  <si>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</si>
  <si>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</si>
  <si>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</si>
  <si>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</si>
  <si>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</si>
  <si>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</si>
  <si>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</si>
  <si>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</si>
  <si>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</si>
  <si>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</si>
  <si>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</si>
  <si>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</si>
  <si>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</si>
  <si>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</si>
  <si>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</si>
  <si>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</si>
  <si>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</si>
  <si>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</si>
  <si>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</si>
  <si>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</si>
  <si>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</si>
  <si>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</si>
  <si>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</si>
  <si>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</si>
  <si>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</si>
  <si>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</si>
  <si>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</si>
  <si>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</si>
  <si>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</si>
  <si>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</si>
  <si>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</si>
  <si>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</si>
  <si>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</si>
  <si>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</si>
  <si>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</si>
  <si>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</si>
  <si>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</si>
  <si>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</si>
  <si>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</si>
  <si>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</si>
  <si>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</si>
  <si>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</si>
  <si>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</si>
  <si>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</si>
  <si>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</si>
  <si>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</si>
  <si>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</si>
  <si>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</si>
  <si>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</si>
  <si>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</si>
  <si>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</si>
  <si>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</si>
  <si>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</si>
  <si>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</si>
  <si>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</si>
  <si>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</si>
  <si>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</si>
  <si>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</si>
  <si>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</si>
  <si>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</si>
  <si>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</si>
  <si>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</si>
  <si>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</si>
  <si>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</si>
  <si>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</si>
  <si>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</si>
  <si>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</si>
  <si>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</si>
  <si>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</si>
  <si>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</si>
  <si>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</si>
  <si>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</si>
  <si>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</si>
  <si>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</si>
  <si>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</si>
  <si>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</si>
  <si>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</si>
  <si>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</si>
  <si>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</si>
  <si>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</si>
  <si>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</si>
  <si>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</si>
  <si>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</si>
  <si>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</si>
  <si>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</si>
  <si>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</si>
  <si>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</si>
  <si>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</si>
  <si>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</si>
  <si>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</si>
  <si>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</si>
  <si>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</si>
  <si>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</si>
  <si>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</si>
  <si>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</si>
  <si>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</si>
  <si>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</si>
  <si>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</si>
  <si>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</si>
  <si>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</si>
  <si>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</si>
  <si>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</si>
  <si>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</si>
  <si>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</si>
  <si>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</si>
  <si>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</si>
  <si>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</si>
  <si>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</si>
  <si>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</si>
  <si>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</si>
  <si>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</si>
  <si>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</si>
  <si>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</si>
  <si>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</si>
  <si>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</si>
  <si>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</si>
  <si>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</si>
  <si>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</si>
  <si>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</si>
  <si>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</si>
  <si>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</si>
  <si>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</si>
  <si>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</si>
  <si>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</si>
  <si>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</si>
  <si>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</si>
  <si>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</si>
  <si>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</si>
  <si>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</si>
  <si>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</si>
  <si>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</si>
  <si>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</si>
  <si>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</si>
  <si>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</si>
  <si>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</si>
  <si>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</si>
  <si>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</si>
  <si>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</si>
  <si>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</si>
  <si>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</si>
  <si>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</si>
  <si>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</si>
  <si>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</si>
  <si>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</si>
  <si>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</si>
  <si>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</si>
  <si>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</si>
  <si>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</si>
  <si>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</si>
  <si>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</si>
  <si>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</si>
  <si>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</si>
  <si>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</si>
  <si>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</si>
  <si>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Køb af ydelser og produkter fra andre vandselskaber reguleret af vandsektorloven</t>
  </si>
  <si>
    <t>Ingen tilknyttet virksomhed</t>
  </si>
  <si>
    <t>Ingen bortfald eller nedsættelse</t>
  </si>
  <si>
    <t>Separatkloakeringer 2017 - 2019</t>
  </si>
  <si>
    <t>Byggemodninger og nye tilslutninger</t>
  </si>
  <si>
    <t>Ingen engangstillæg</t>
  </si>
  <si>
    <t>Ingen anlægsprojekter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</si>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</sst>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8" fillId="8" borderId="1" xfId="1" applyNumberFormat="1" applyFont="1" applyFill="1" applyBorder="1" applyProtection="1"/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226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43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17</v>
      </c>
      <c r="D14" s="69" t="s">
        <v>254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41</v>
      </c>
      <c r="D15" s="69" t="s">
        <v>107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42</v>
      </c>
      <c r="D16" s="69" t="s">
        <v>214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180</v>
      </c>
      <c r="D17" s="69" t="s">
        <v>215</v>
      </c>
      <c r="E17" s="70"/>
      <c r="F17" s="70"/>
      <c r="G17" s="71"/>
      <c r="H17" s="1"/>
      <c r="I17" s="1"/>
    </row>
    <row r="18" spans="1:9" x14ac:dyDescent="0.25">
      <c r="A18" s="1"/>
      <c r="B18" s="1"/>
      <c r="C18" s="6" t="s">
        <v>157</v>
      </c>
      <c r="D18" s="66" t="s">
        <v>135</v>
      </c>
      <c r="E18" s="67"/>
      <c r="F18" s="67"/>
      <c r="G18" s="68"/>
      <c r="H18" s="1"/>
      <c r="I18" s="1"/>
    </row>
    <row r="19" spans="1:9" x14ac:dyDescent="0.25">
      <c r="A19" s="1"/>
      <c r="B19" s="1"/>
      <c r="C19" s="6" t="s">
        <v>158</v>
      </c>
      <c r="D19" s="66" t="s">
        <v>136</v>
      </c>
      <c r="E19" s="67"/>
      <c r="F19" s="67"/>
      <c r="G19" s="68"/>
      <c r="H19" s="1"/>
      <c r="I19" s="1"/>
    </row>
    <row r="20" spans="1:9" x14ac:dyDescent="0.25">
      <c r="A20" s="1"/>
      <c r="B20" s="1"/>
      <c r="C20" s="6" t="s">
        <v>7</v>
      </c>
      <c r="D20" s="66" t="s">
        <v>10</v>
      </c>
      <c r="E20" s="67"/>
      <c r="F20" s="67"/>
      <c r="G20" s="68"/>
      <c r="H20" s="1"/>
      <c r="I20" s="1"/>
    </row>
    <row r="21" spans="1:9" x14ac:dyDescent="0.25">
      <c r="A21" s="1"/>
      <c r="B21" s="1"/>
      <c r="C21" s="6" t="s">
        <v>159</v>
      </c>
      <c r="D21" s="73" t="s">
        <v>13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111</v>
      </c>
      <c r="D22" s="60" t="s">
        <v>255</v>
      </c>
      <c r="E22" s="61"/>
      <c r="F22" s="61"/>
      <c r="G22" s="62"/>
      <c r="H22" s="1"/>
      <c r="I22" s="1"/>
    </row>
    <row r="23" spans="1:9" x14ac:dyDescent="0.25">
      <c r="A23" s="1"/>
      <c r="B23" s="1"/>
      <c r="C23" s="6" t="s">
        <v>8</v>
      </c>
      <c r="D23" s="60" t="s">
        <v>184</v>
      </c>
      <c r="E23" s="61"/>
      <c r="F23" s="61"/>
      <c r="G23" s="62"/>
      <c r="H23" s="1"/>
      <c r="I23" s="1"/>
    </row>
    <row r="24" spans="1:9" x14ac:dyDescent="0.25">
      <c r="A24" s="1"/>
      <c r="B24" s="1"/>
      <c r="C24" s="6" t="s">
        <v>9</v>
      </c>
      <c r="D24" s="60" t="s">
        <v>44</v>
      </c>
      <c r="E24" s="61"/>
      <c r="F24" s="61"/>
      <c r="G24" s="62"/>
      <c r="H24" s="1"/>
      <c r="I24" s="1"/>
    </row>
    <row r="25" spans="1:9" x14ac:dyDescent="0.25">
      <c r="A25" s="1"/>
      <c r="B25" s="1"/>
      <c r="C25" s="6" t="s">
        <v>160</v>
      </c>
      <c r="D25" s="60" t="s">
        <v>112</v>
      </c>
      <c r="E25" s="61"/>
      <c r="F25" s="61"/>
      <c r="G25" s="62"/>
      <c r="H25" s="1"/>
      <c r="I25" s="1"/>
    </row>
    <row r="26" spans="1:9" x14ac:dyDescent="0.25">
      <c r="A26" s="1"/>
      <c r="B26" s="1"/>
      <c r="C26" s="6" t="s">
        <v>161</v>
      </c>
      <c r="D26" s="60" t="s">
        <v>113</v>
      </c>
      <c r="E26" s="61"/>
      <c r="F26" s="61"/>
      <c r="G26" s="62"/>
      <c r="H26" s="1"/>
      <c r="I26" s="1"/>
    </row>
    <row r="27" spans="1:9" x14ac:dyDescent="0.25">
      <c r="A27" s="1"/>
      <c r="B27" s="1"/>
      <c r="C27" s="6" t="s">
        <v>162</v>
      </c>
      <c r="D27" s="60" t="s">
        <v>114</v>
      </c>
      <c r="E27" s="61"/>
      <c r="F27" s="61"/>
      <c r="G27" s="62"/>
      <c r="H27" s="1"/>
      <c r="I27" s="1"/>
    </row>
    <row r="28" spans="1:9" x14ac:dyDescent="0.25">
      <c r="A28" s="1"/>
      <c r="B28" s="1"/>
      <c r="C28" s="6" t="s">
        <v>16</v>
      </c>
      <c r="D28" s="60" t="s">
        <v>216</v>
      </c>
      <c r="E28" s="61"/>
      <c r="F28" s="61"/>
      <c r="G28" s="62"/>
      <c r="H28" s="1"/>
      <c r="I28" s="1"/>
    </row>
    <row r="29" spans="1:9" x14ac:dyDescent="0.25">
      <c r="A29" s="1"/>
      <c r="B29" s="1"/>
      <c r="C29" s="6" t="s">
        <v>46</v>
      </c>
      <c r="D29" s="60" t="s">
        <v>45</v>
      </c>
      <c r="E29" s="61"/>
      <c r="F29" s="61"/>
      <c r="G29" s="62"/>
      <c r="H29" s="1"/>
      <c r="I29" s="1"/>
    </row>
    <row r="30" spans="1:9" x14ac:dyDescent="0.25">
      <c r="A30" s="1"/>
      <c r="B30" s="1"/>
      <c r="C30" s="6" t="s">
        <v>47</v>
      </c>
      <c r="D30" s="63" t="s">
        <v>155</v>
      </c>
      <c r="E30" s="64"/>
      <c r="F30" s="64"/>
      <c r="G30" s="65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8" t="s">
        <v>165</v>
      </c>
      <c r="C3" s="78"/>
      <c r="D3" s="78"/>
      <c r="E3" s="1"/>
      <c r="F3" s="1"/>
    </row>
    <row r="4" spans="1:6" ht="15" customHeight="1" x14ac:dyDescent="0.25">
      <c r="A4" s="1"/>
      <c r="B4" s="78"/>
      <c r="C4" s="78"/>
      <c r="D4" s="78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2" t="s">
        <v>196</v>
      </c>
      <c r="C8" s="93"/>
      <c r="D8" s="94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x14ac:dyDescent="0.25">
      <c r="A10" s="1"/>
      <c r="B10" s="54" t="s">
        <v>265</v>
      </c>
      <c r="C10" s="9">
        <v>1196059</v>
      </c>
      <c r="D10" s="14" t="s">
        <v>3</v>
      </c>
      <c r="E10" s="1"/>
      <c r="F10" s="1"/>
    </row>
    <row r="11" spans="1:6" x14ac:dyDescent="0.25">
      <c r="A11" s="1"/>
      <c r="B11" s="54" t="s">
        <v>266</v>
      </c>
      <c r="C11" s="9">
        <v>61563</v>
      </c>
      <c r="D11" s="14" t="s">
        <v>3</v>
      </c>
      <c r="E11" s="1"/>
      <c r="F11" s="1"/>
    </row>
    <row r="12" spans="1:6" x14ac:dyDescent="0.25">
      <c r="A12" s="1"/>
      <c r="B12" s="54" t="s">
        <v>267</v>
      </c>
      <c r="C12" s="9">
        <v>81155</v>
      </c>
      <c r="D12" s="14" t="s">
        <v>3</v>
      </c>
      <c r="E12" s="1"/>
      <c r="F12" s="1"/>
    </row>
    <row r="13" spans="1:6" x14ac:dyDescent="0.25">
      <c r="A13" s="1"/>
      <c r="B13" s="38" t="s">
        <v>198</v>
      </c>
      <c r="C13" s="12">
        <f>SUM(C10:C12)</f>
        <v>1338777</v>
      </c>
      <c r="D13" s="13" t="s">
        <v>3</v>
      </c>
      <c r="E13" s="1"/>
      <c r="F13" s="1"/>
    </row>
    <row r="14" spans="1:6" x14ac:dyDescent="0.25">
      <c r="A14" s="1"/>
      <c r="B14" s="38" t="s">
        <v>199</v>
      </c>
      <c r="C14" s="12">
        <f>C13*(1+'Fane 14. Nøgletal'!C13)^2</f>
        <v>1371642.4223686801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92" t="s">
        <v>178</v>
      </c>
      <c r="C17" s="93"/>
      <c r="D17" s="94"/>
      <c r="E17" s="1"/>
      <c r="F17" s="1"/>
    </row>
    <row r="18" spans="1:6" x14ac:dyDescent="0.25">
      <c r="A18" s="1"/>
      <c r="B18" s="54" t="s">
        <v>147</v>
      </c>
      <c r="C18" s="9">
        <v>0</v>
      </c>
      <c r="D18" s="14" t="s">
        <v>3</v>
      </c>
      <c r="E18" s="1"/>
      <c r="F18" s="1"/>
    </row>
    <row r="19" spans="1:6" x14ac:dyDescent="0.25">
      <c r="A19" s="1"/>
      <c r="B19" s="54" t="s">
        <v>148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54" t="s">
        <v>149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4" t="s">
        <v>200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92"/>
      <c r="C22" s="93"/>
      <c r="D22" s="94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92" t="s">
        <v>146</v>
      </c>
      <c r="C25" s="93"/>
      <c r="D25" s="94"/>
      <c r="E25" s="1"/>
      <c r="F25" s="1"/>
    </row>
    <row r="26" spans="1:6" x14ac:dyDescent="0.25">
      <c r="A26" s="1"/>
      <c r="B26" s="54" t="s">
        <v>147</v>
      </c>
      <c r="C26" s="9">
        <v>0</v>
      </c>
      <c r="D26" s="14" t="s">
        <v>3</v>
      </c>
      <c r="E26" s="1"/>
      <c r="F26" s="1"/>
    </row>
    <row r="27" spans="1:6" x14ac:dyDescent="0.25">
      <c r="A27" s="1"/>
      <c r="B27" s="54" t="s">
        <v>148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4" t="s">
        <v>149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4" t="s">
        <v>200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92"/>
      <c r="C30" s="93"/>
      <c r="D30" s="94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0:D30"/>
    <mergeCell ref="B3:D4"/>
    <mergeCell ref="B8:D8"/>
    <mergeCell ref="B17:D17"/>
    <mergeCell ref="B25:D25"/>
    <mergeCell ref="B22:D22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="87" zoomScaleNormal="100" zoomScalePageLayoutView="87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256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137</v>
      </c>
      <c r="C8" s="93"/>
      <c r="D8" s="93"/>
      <c r="E8" s="93"/>
      <c r="F8" s="94"/>
      <c r="G8" s="1"/>
    </row>
    <row r="9" spans="1:7" x14ac:dyDescent="0.25">
      <c r="A9" s="1"/>
      <c r="B9" s="95" t="s">
        <v>138</v>
      </c>
      <c r="C9" s="96"/>
      <c r="D9" s="97"/>
      <c r="E9" s="9">
        <v>53184174.163348973</v>
      </c>
      <c r="F9" s="14" t="s">
        <v>3</v>
      </c>
      <c r="G9" s="1"/>
    </row>
    <row r="10" spans="1:7" x14ac:dyDescent="0.25">
      <c r="A10" s="1"/>
      <c r="B10" s="95" t="s">
        <v>139</v>
      </c>
      <c r="C10" s="96"/>
      <c r="D10" s="97"/>
      <c r="E10" s="9">
        <v>49452683</v>
      </c>
      <c r="F10" s="14" t="s">
        <v>3</v>
      </c>
      <c r="G10" s="1"/>
    </row>
    <row r="11" spans="1:7" x14ac:dyDescent="0.25">
      <c r="A11" s="1"/>
      <c r="B11" s="95" t="s">
        <v>40</v>
      </c>
      <c r="C11" s="96"/>
      <c r="D11" s="97"/>
      <c r="E11" s="9">
        <v>0</v>
      </c>
      <c r="F11" s="14" t="s">
        <v>3</v>
      </c>
      <c r="G11" s="1"/>
    </row>
    <row r="12" spans="1:7" x14ac:dyDescent="0.25">
      <c r="A12" s="1"/>
      <c r="B12" s="85" t="s">
        <v>140</v>
      </c>
      <c r="C12" s="86"/>
      <c r="D12" s="104"/>
      <c r="E12" s="10">
        <f>E9-(E10-E11)</f>
        <v>3731491.1633489728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80" t="s">
        <v>156</v>
      </c>
      <c r="C14" s="81"/>
      <c r="D14" s="81"/>
      <c r="E14" s="81"/>
      <c r="F14" s="82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2" t="s">
        <v>52</v>
      </c>
      <c r="C16" s="93"/>
      <c r="D16" s="93"/>
      <c r="E16" s="93"/>
      <c r="F16" s="94"/>
      <c r="G16" s="1"/>
    </row>
    <row r="17" spans="1:7" x14ac:dyDescent="0.25">
      <c r="A17" s="1"/>
      <c r="B17" s="95" t="s">
        <v>53</v>
      </c>
      <c r="C17" s="96"/>
      <c r="D17" s="97"/>
      <c r="E17" s="9">
        <v>63225051.325628541</v>
      </c>
      <c r="F17" s="14" t="s">
        <v>3</v>
      </c>
      <c r="G17" s="1"/>
    </row>
    <row r="18" spans="1:7" x14ac:dyDescent="0.25">
      <c r="A18" s="1"/>
      <c r="B18" s="95" t="s">
        <v>54</v>
      </c>
      <c r="C18" s="96"/>
      <c r="D18" s="97"/>
      <c r="E18" s="9">
        <v>55710297</v>
      </c>
      <c r="F18" s="14" t="s">
        <v>3</v>
      </c>
      <c r="G18" s="1"/>
    </row>
    <row r="19" spans="1:7" x14ac:dyDescent="0.25">
      <c r="A19" s="1"/>
      <c r="B19" s="95" t="s">
        <v>40</v>
      </c>
      <c r="C19" s="96"/>
      <c r="D19" s="97"/>
      <c r="E19" s="9">
        <v>0</v>
      </c>
      <c r="F19" s="14" t="s">
        <v>3</v>
      </c>
      <c r="G19" s="1"/>
    </row>
    <row r="20" spans="1:7" x14ac:dyDescent="0.25">
      <c r="A20" s="1"/>
      <c r="B20" s="85" t="s">
        <v>55</v>
      </c>
      <c r="C20" s="86"/>
      <c r="D20" s="104"/>
      <c r="E20" s="10">
        <f>E17-(E18-E19)</f>
        <v>7514754.3256285414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80" t="s">
        <v>218</v>
      </c>
      <c r="C22" s="81"/>
      <c r="D22" s="81"/>
      <c r="E22" s="81"/>
      <c r="F22" s="82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2" t="s">
        <v>245</v>
      </c>
      <c r="C24" s="93"/>
      <c r="D24" s="93"/>
      <c r="E24" s="93"/>
      <c r="F24" s="94"/>
      <c r="G24" s="1"/>
    </row>
    <row r="25" spans="1:7" x14ac:dyDescent="0.25">
      <c r="A25" s="1"/>
      <c r="B25" s="95" t="s">
        <v>246</v>
      </c>
      <c r="C25" s="96"/>
      <c r="D25" s="97"/>
      <c r="E25" s="9">
        <v>51833367.287954904</v>
      </c>
      <c r="F25" s="14" t="s">
        <v>3</v>
      </c>
      <c r="G25" s="1"/>
    </row>
    <row r="26" spans="1:7" x14ac:dyDescent="0.25">
      <c r="A26" s="1"/>
      <c r="B26" s="95" t="s">
        <v>247</v>
      </c>
      <c r="C26" s="96"/>
      <c r="D26" s="97"/>
      <c r="E26" s="9">
        <v>50030767</v>
      </c>
      <c r="F26" s="14" t="s">
        <v>3</v>
      </c>
      <c r="G26" s="1"/>
    </row>
    <row r="27" spans="1:7" x14ac:dyDescent="0.25">
      <c r="A27" s="1"/>
      <c r="B27" s="95" t="s">
        <v>40</v>
      </c>
      <c r="C27" s="96"/>
      <c r="D27" s="97"/>
      <c r="E27" s="9">
        <v>0</v>
      </c>
      <c r="F27" s="14" t="s">
        <v>3</v>
      </c>
      <c r="G27" s="1"/>
    </row>
    <row r="28" spans="1:7" x14ac:dyDescent="0.25">
      <c r="A28" s="1"/>
      <c r="B28" s="85" t="s">
        <v>248</v>
      </c>
      <c r="C28" s="86"/>
      <c r="D28" s="104"/>
      <c r="E28" s="10">
        <f>E25-(E26-E27)</f>
        <v>1802600.2879549041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2" t="s">
        <v>250</v>
      </c>
      <c r="C31" s="93"/>
      <c r="D31" s="93"/>
      <c r="E31" s="93"/>
      <c r="F31" s="94"/>
      <c r="G31" s="1"/>
    </row>
    <row r="32" spans="1:7" x14ac:dyDescent="0.25">
      <c r="A32" s="1"/>
      <c r="B32" s="85" t="s">
        <v>251</v>
      </c>
      <c r="C32" s="86"/>
      <c r="D32" s="104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0</v>
      </c>
      <c r="F32" s="17" t="s">
        <v>3</v>
      </c>
      <c r="G32" s="1"/>
    </row>
    <row r="33" spans="1:7" x14ac:dyDescent="0.25">
      <c r="A33" s="1"/>
      <c r="B33" s="92"/>
      <c r="C33" s="93"/>
      <c r="D33" s="93"/>
      <c r="E33" s="93"/>
      <c r="F33" s="94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92" t="s">
        <v>249</v>
      </c>
      <c r="C35" s="93"/>
      <c r="D35" s="93"/>
      <c r="E35" s="93"/>
      <c r="F35" s="94"/>
      <c r="G35" s="1"/>
    </row>
    <row r="36" spans="1:7" x14ac:dyDescent="0.25">
      <c r="A36" s="1"/>
      <c r="B36" s="105" t="s">
        <v>274</v>
      </c>
      <c r="C36" s="106"/>
      <c r="D36" s="107"/>
      <c r="E36" s="9">
        <v>1</v>
      </c>
      <c r="F36" s="14"/>
      <c r="G36" s="1"/>
    </row>
    <row r="37" spans="1:7" x14ac:dyDescent="0.25">
      <c r="A37" s="1"/>
      <c r="B37" s="105" t="s">
        <v>275</v>
      </c>
      <c r="C37" s="106"/>
      <c r="D37" s="107"/>
      <c r="E37" s="9">
        <v>1</v>
      </c>
      <c r="F37" s="14"/>
      <c r="G37" s="1"/>
    </row>
    <row r="38" spans="1:7" x14ac:dyDescent="0.25">
      <c r="A38" s="1"/>
      <c r="B38" s="105" t="s">
        <v>252</v>
      </c>
      <c r="C38" s="106"/>
      <c r="D38" s="107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0</v>
      </c>
      <c r="F38" s="14" t="s">
        <v>3</v>
      </c>
      <c r="G38" s="1"/>
    </row>
    <row r="39" spans="1:7" x14ac:dyDescent="0.25">
      <c r="A39" s="1"/>
      <c r="B39" s="105" t="s">
        <v>152</v>
      </c>
      <c r="C39" s="106"/>
      <c r="D39" s="107"/>
      <c r="E39" s="9">
        <v>2</v>
      </c>
      <c r="F39" s="14" t="s">
        <v>21</v>
      </c>
      <c r="G39" s="1"/>
    </row>
    <row r="40" spans="1:7" x14ac:dyDescent="0.25">
      <c r="A40" s="1"/>
      <c r="B40" s="111" t="s">
        <v>253</v>
      </c>
      <c r="C40" s="111"/>
      <c r="D40" s="111"/>
      <c r="E40" s="10">
        <f>E38/E39</f>
        <v>0</v>
      </c>
      <c r="F40" s="17" t="s">
        <v>3</v>
      </c>
      <c r="G40" s="1"/>
    </row>
    <row r="41" spans="1:7" x14ac:dyDescent="0.25">
      <c r="A41" s="1"/>
      <c r="B41" s="108"/>
      <c r="C41" s="109"/>
      <c r="D41" s="109"/>
      <c r="E41" s="109"/>
      <c r="F41" s="110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  <mergeCell ref="B35:F35"/>
    <mergeCell ref="B38:D38"/>
    <mergeCell ref="B41:F41"/>
    <mergeCell ref="B39:D39"/>
    <mergeCell ref="B40:D40"/>
    <mergeCell ref="B36:D36"/>
    <mergeCell ref="B37:D37"/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201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2" t="s">
        <v>202</v>
      </c>
      <c r="C9" s="93"/>
      <c r="D9" s="93"/>
      <c r="E9" s="93"/>
      <c r="F9" s="94"/>
      <c r="G9" s="1"/>
    </row>
    <row r="10" spans="1:7" x14ac:dyDescent="0.25">
      <c r="A10" s="1"/>
      <c r="B10" s="80" t="s">
        <v>150</v>
      </c>
      <c r="C10" s="81"/>
      <c r="D10" s="82"/>
      <c r="E10" s="7">
        <v>0</v>
      </c>
      <c r="F10" s="8" t="s">
        <v>3</v>
      </c>
      <c r="G10" s="1"/>
    </row>
    <row r="11" spans="1:7" x14ac:dyDescent="0.25">
      <c r="A11" s="1"/>
      <c r="B11" s="95" t="s">
        <v>203</v>
      </c>
      <c r="C11" s="96"/>
      <c r="D11" s="97"/>
      <c r="E11" s="7">
        <v>0</v>
      </c>
      <c r="F11" s="8" t="s">
        <v>3</v>
      </c>
      <c r="G11" s="1"/>
    </row>
    <row r="12" spans="1:7" x14ac:dyDescent="0.25">
      <c r="A12" s="1"/>
      <c r="B12" s="85" t="s">
        <v>151</v>
      </c>
      <c r="C12" s="86"/>
      <c r="D12" s="104"/>
      <c r="E12" s="10">
        <f>E11-E10</f>
        <v>0</v>
      </c>
      <c r="F12" s="11" t="s">
        <v>3</v>
      </c>
      <c r="G12" s="1"/>
    </row>
    <row r="13" spans="1:7" x14ac:dyDescent="0.25">
      <c r="A13" s="1"/>
      <c r="B13" s="92" t="s">
        <v>134</v>
      </c>
      <c r="C13" s="93"/>
      <c r="D13" s="93"/>
      <c r="E13" s="93"/>
      <c r="F13" s="94"/>
      <c r="G13" s="1"/>
    </row>
    <row r="14" spans="1:7" x14ac:dyDescent="0.25">
      <c r="A14" s="1"/>
      <c r="B14" s="95" t="s">
        <v>204</v>
      </c>
      <c r="C14" s="96"/>
      <c r="D14" s="97"/>
      <c r="E14" s="9">
        <v>0</v>
      </c>
      <c r="F14" s="8" t="s">
        <v>3</v>
      </c>
      <c r="G14" s="1"/>
    </row>
    <row r="15" spans="1:7" x14ac:dyDescent="0.25">
      <c r="A15" s="1"/>
      <c r="B15" s="80" t="s">
        <v>205</v>
      </c>
      <c r="C15" s="81"/>
      <c r="D15" s="82"/>
      <c r="E15" s="9">
        <v>0</v>
      </c>
      <c r="F15" s="8" t="s">
        <v>3</v>
      </c>
      <c r="G15" s="1"/>
    </row>
    <row r="16" spans="1:7" x14ac:dyDescent="0.25">
      <c r="A16" s="1"/>
      <c r="B16" s="85" t="s">
        <v>151</v>
      </c>
      <c r="C16" s="86"/>
      <c r="D16" s="104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236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237</v>
      </c>
      <c r="C8" s="93"/>
      <c r="D8" s="93"/>
      <c r="E8" s="93"/>
      <c r="F8" s="93"/>
      <c r="G8" s="93"/>
      <c r="H8" s="94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x14ac:dyDescent="0.25">
      <c r="A10" s="1"/>
      <c r="B10" s="56" t="s">
        <v>273</v>
      </c>
      <c r="C10" s="58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25">
      <c r="A11" s="1"/>
      <c r="B11" s="92" t="s">
        <v>238</v>
      </c>
      <c r="C11" s="93"/>
      <c r="D11" s="94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168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59" t="s">
        <v>270</v>
      </c>
      <c r="C11" s="22">
        <v>32405</v>
      </c>
      <c r="D11" s="14" t="s">
        <v>3</v>
      </c>
      <c r="E11" s="9">
        <v>1195912</v>
      </c>
      <c r="F11" s="14" t="s">
        <v>3</v>
      </c>
      <c r="G11" s="1"/>
    </row>
    <row r="12" spans="1:7" x14ac:dyDescent="0.25">
      <c r="A12" s="1"/>
      <c r="B12" s="25" t="s">
        <v>271</v>
      </c>
      <c r="C12" s="22">
        <v>654380</v>
      </c>
      <c r="D12" s="14" t="s">
        <v>3</v>
      </c>
      <c r="E12" s="9">
        <v>380135</v>
      </c>
      <c r="F12" s="14" t="s">
        <v>3</v>
      </c>
      <c r="G12" s="1"/>
    </row>
    <row r="13" spans="1:7" x14ac:dyDescent="0.25">
      <c r="A13" s="1"/>
      <c r="B13" s="38" t="s">
        <v>50</v>
      </c>
      <c r="C13" s="12">
        <f>SUM(C10:C12)</f>
        <v>686785</v>
      </c>
      <c r="D13" s="13" t="s">
        <v>3</v>
      </c>
      <c r="E13" s="12">
        <f>SUM(E10:E12)</f>
        <v>1576047</v>
      </c>
      <c r="F13" s="13" t="s">
        <v>3</v>
      </c>
      <c r="G13" s="1"/>
    </row>
    <row r="14" spans="1:7" x14ac:dyDescent="0.25">
      <c r="A14" s="1"/>
      <c r="B14" s="38" t="s">
        <v>219</v>
      </c>
      <c r="C14" s="12">
        <f>C13*(1+'Fane 14. Nøgletal'!C13)</f>
        <v>695163.777</v>
      </c>
      <c r="D14" s="13" t="s">
        <v>3</v>
      </c>
      <c r="E14" s="12">
        <f>E13*(1+'Fane 14. Nøgletal'!C13)</f>
        <v>1595274.7734000001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qNy8hnWw0YcWmaONqd4tKIJDJCFMnXyDW4fuAtiz41GD2mza7tmIl2m/3rlLRSu0hrm5OjrIVCCZxqaiMXCLFw==" saltValue="NMr78jUWaQrzCyE+GM0nU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167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141</v>
      </c>
      <c r="C8" s="93"/>
      <c r="D8" s="93"/>
      <c r="E8" s="93"/>
      <c r="F8" s="94"/>
      <c r="G8" s="1"/>
    </row>
    <row r="9" spans="1:7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272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2" t="s">
        <v>142</v>
      </c>
      <c r="C16" s="93"/>
      <c r="D16" s="93"/>
      <c r="E16" s="93"/>
      <c r="F16" s="94"/>
      <c r="G16" s="1"/>
    </row>
    <row r="17" spans="1:7" x14ac:dyDescent="0.25">
      <c r="A17" s="1"/>
      <c r="B17" s="49" t="s">
        <v>18</v>
      </c>
      <c r="C17" s="49" t="s">
        <v>12</v>
      </c>
      <c r="D17" s="50"/>
      <c r="E17" s="49" t="s">
        <v>38</v>
      </c>
      <c r="F17" s="37"/>
      <c r="G17" s="1"/>
    </row>
    <row r="18" spans="1:7" x14ac:dyDescent="0.25">
      <c r="A18" s="1"/>
      <c r="B18" s="25" t="s">
        <v>272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2" t="s">
        <v>143</v>
      </c>
      <c r="C24" s="93"/>
      <c r="D24" s="93"/>
      <c r="E24" s="93"/>
      <c r="F24" s="94"/>
      <c r="G24" s="1"/>
    </row>
    <row r="25" spans="1:7" x14ac:dyDescent="0.25">
      <c r="A25" s="1"/>
      <c r="B25" s="49" t="s">
        <v>18</v>
      </c>
      <c r="C25" s="49" t="s">
        <v>12</v>
      </c>
      <c r="D25" s="50"/>
      <c r="E25" s="49" t="s">
        <v>38</v>
      </c>
      <c r="F25" s="37"/>
      <c r="G25" s="1"/>
    </row>
    <row r="26" spans="1:7" x14ac:dyDescent="0.25">
      <c r="A26" s="1"/>
      <c r="B26" s="25" t="s">
        <v>272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2" t="s">
        <v>223</v>
      </c>
      <c r="C32" s="93"/>
      <c r="D32" s="93"/>
      <c r="E32" s="93"/>
      <c r="F32" s="94"/>
      <c r="G32" s="1"/>
    </row>
    <row r="33" spans="1:7" x14ac:dyDescent="0.25">
      <c r="A33" s="1"/>
      <c r="B33" s="49" t="s">
        <v>18</v>
      </c>
      <c r="C33" s="49" t="s">
        <v>12</v>
      </c>
      <c r="D33" s="50"/>
      <c r="E33" s="49" t="s">
        <v>38</v>
      </c>
      <c r="F33" s="37"/>
      <c r="G33" s="1"/>
    </row>
    <row r="34" spans="1:7" x14ac:dyDescent="0.25">
      <c r="A34" s="1"/>
      <c r="B34" s="25" t="s">
        <v>272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EYW9nUiEZJ8f31x6u8ApkD4kKuhFDhyE5oNmbk73bWsHT/cdEORMG/38Yfi7n7xgXaOrYFYa4czcZntZghSiuA==" saltValue="BIu1keNEyof91I+jx6K/p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169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89"/>
      <c r="C5" s="89"/>
      <c r="D5" s="89"/>
      <c r="E5" s="89"/>
      <c r="F5" s="8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125</v>
      </c>
      <c r="C8" s="93"/>
      <c r="D8" s="93"/>
      <c r="E8" s="93"/>
      <c r="F8" s="94"/>
      <c r="G8" s="1"/>
    </row>
    <row r="9" spans="1:7" x14ac:dyDescent="0.25">
      <c r="A9" s="1"/>
      <c r="B9" s="112" t="s">
        <v>207</v>
      </c>
      <c r="C9" s="113"/>
      <c r="D9" s="114"/>
      <c r="E9" s="9">
        <v>0</v>
      </c>
      <c r="F9" s="14" t="s">
        <v>3</v>
      </c>
      <c r="G9" s="1"/>
    </row>
    <row r="10" spans="1:7" x14ac:dyDescent="0.25">
      <c r="A10" s="1"/>
      <c r="B10" s="83" t="s">
        <v>10</v>
      </c>
      <c r="C10" s="84"/>
      <c r="D10" s="90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3" t="s">
        <v>29</v>
      </c>
      <c r="C11" s="84"/>
      <c r="D11" s="90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92" t="s">
        <v>128</v>
      </c>
      <c r="C12" s="93"/>
      <c r="D12" s="94"/>
      <c r="E12" s="12">
        <f>SUM(E9:E11)*(1+'Fane 14. Nøgletal'!C13)^2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2" t="s">
        <v>126</v>
      </c>
      <c r="C14" s="93"/>
      <c r="D14" s="93"/>
      <c r="E14" s="93"/>
      <c r="F14" s="94"/>
      <c r="G14" s="1"/>
    </row>
    <row r="15" spans="1:7" x14ac:dyDescent="0.25">
      <c r="A15" s="1"/>
      <c r="B15" s="112" t="s">
        <v>207</v>
      </c>
      <c r="C15" s="113"/>
      <c r="D15" s="114"/>
      <c r="E15" s="9">
        <v>0</v>
      </c>
      <c r="F15" s="14" t="s">
        <v>3</v>
      </c>
      <c r="G15" s="1"/>
    </row>
    <row r="16" spans="1:7" x14ac:dyDescent="0.25">
      <c r="A16" s="1"/>
      <c r="B16" s="83" t="s">
        <v>10</v>
      </c>
      <c r="C16" s="84"/>
      <c r="D16" s="90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3" t="s">
        <v>29</v>
      </c>
      <c r="C17" s="84"/>
      <c r="D17" s="90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92" t="s">
        <v>129</v>
      </c>
      <c r="C18" s="93"/>
      <c r="D18" s="94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2" t="s">
        <v>127</v>
      </c>
      <c r="C20" s="93"/>
      <c r="D20" s="93"/>
      <c r="E20" s="93"/>
      <c r="F20" s="94"/>
      <c r="G20" s="1"/>
    </row>
    <row r="21" spans="1:7" x14ac:dyDescent="0.25">
      <c r="A21" s="1"/>
      <c r="B21" s="112" t="s">
        <v>207</v>
      </c>
      <c r="C21" s="113"/>
      <c r="D21" s="114"/>
      <c r="E21" s="9">
        <v>0</v>
      </c>
      <c r="F21" s="14" t="s">
        <v>3</v>
      </c>
      <c r="G21" s="1"/>
    </row>
    <row r="22" spans="1:7" x14ac:dyDescent="0.25">
      <c r="A22" s="1"/>
      <c r="B22" s="83" t="s">
        <v>10</v>
      </c>
      <c r="C22" s="84"/>
      <c r="D22" s="90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3" t="s">
        <v>29</v>
      </c>
      <c r="C23" s="84"/>
      <c r="D23" s="90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92" t="s">
        <v>130</v>
      </c>
      <c r="C24" s="93"/>
      <c r="D24" s="94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2" t="s">
        <v>208</v>
      </c>
      <c r="C26" s="93"/>
      <c r="D26" s="93"/>
      <c r="E26" s="93"/>
      <c r="F26" s="94"/>
      <c r="G26" s="1"/>
    </row>
    <row r="27" spans="1:7" x14ac:dyDescent="0.25">
      <c r="A27" s="1"/>
      <c r="B27" s="112" t="s">
        <v>207</v>
      </c>
      <c r="C27" s="113"/>
      <c r="D27" s="114"/>
      <c r="E27" s="9">
        <v>0</v>
      </c>
      <c r="F27" s="14" t="s">
        <v>3</v>
      </c>
      <c r="G27" s="1"/>
    </row>
    <row r="28" spans="1:7" x14ac:dyDescent="0.25">
      <c r="A28" s="1"/>
      <c r="B28" s="83" t="s">
        <v>10</v>
      </c>
      <c r="C28" s="84"/>
      <c r="D28" s="90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3" t="s">
        <v>29</v>
      </c>
      <c r="C29" s="84"/>
      <c r="D29" s="90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92" t="s">
        <v>209</v>
      </c>
      <c r="C30" s="93"/>
      <c r="D30" s="94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hsOclc8fMVbVOofOY6h8zcqWvuYUZUlp85gBgbSllI1+wIDn4qGoja641WTNBlcMDcbyNaCe/JS/3/KAjAG8ug==" saltValue="XcAaDHFnX7ORrJ787brGLg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210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211</v>
      </c>
      <c r="C8" s="93"/>
      <c r="D8" s="93"/>
      <c r="E8" s="93"/>
      <c r="F8" s="94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166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132</v>
      </c>
      <c r="C8" s="93"/>
      <c r="D8" s="93"/>
      <c r="E8" s="93"/>
      <c r="F8" s="94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2" t="s">
        <v>131</v>
      </c>
      <c r="C14" s="93"/>
      <c r="D14" s="93"/>
      <c r="E14" s="93"/>
      <c r="F14" s="94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269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2" t="s">
        <v>133</v>
      </c>
      <c r="C20" s="93"/>
      <c r="D20" s="93"/>
      <c r="E20" s="93"/>
      <c r="F20" s="94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269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2" t="s">
        <v>227</v>
      </c>
      <c r="C26" s="93"/>
      <c r="D26" s="93"/>
      <c r="E26" s="93"/>
      <c r="F26" s="94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269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9" t="s">
        <v>257</v>
      </c>
      <c r="C3" s="89"/>
      <c r="D3" s="1"/>
    </row>
    <row r="4" spans="1:4" ht="25.5" customHeight="1" x14ac:dyDescent="0.25">
      <c r="A4" s="1"/>
      <c r="B4" s="89"/>
      <c r="C4" s="8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4" t="s">
        <v>170</v>
      </c>
      <c r="C9" s="26">
        <v>1.2699999999999999E-2</v>
      </c>
      <c r="D9" s="1"/>
    </row>
    <row r="10" spans="1:4" x14ac:dyDescent="0.25">
      <c r="A10" s="1"/>
      <c r="B10" s="54" t="s">
        <v>171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4" t="s">
        <v>173</v>
      </c>
      <c r="C18" s="23">
        <v>9.1000000000000004E-3</v>
      </c>
      <c r="D18" s="1"/>
    </row>
    <row r="19" spans="1:4" x14ac:dyDescent="0.25">
      <c r="A19" s="1"/>
      <c r="B19" s="54" t="s">
        <v>174</v>
      </c>
      <c r="C19" s="23">
        <v>1.77E-2</v>
      </c>
      <c r="D19" s="1"/>
    </row>
    <row r="20" spans="1:4" x14ac:dyDescent="0.25">
      <c r="A20" s="1"/>
      <c r="B20" s="54" t="s">
        <v>175</v>
      </c>
      <c r="C20" s="23">
        <v>8.6999999999999994E-3</v>
      </c>
      <c r="D20" s="1"/>
    </row>
    <row r="21" spans="1:4" x14ac:dyDescent="0.25">
      <c r="A21" s="1"/>
      <c r="B21" s="54" t="s">
        <v>176</v>
      </c>
      <c r="C21" s="41">
        <v>2.8400000000000002E-2</v>
      </c>
      <c r="D21" s="1"/>
    </row>
    <row r="22" spans="1:4" x14ac:dyDescent="0.25">
      <c r="A22" s="1"/>
      <c r="B22" s="54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4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o3IckjvkUrXpJHSf4fbk5w4IxyT9NY5XCFzmf8JJOFaMUcsqOBBa8zksePd4F+Xd3U2Y3DDls++Lt6+i3GnmGQ==" saltValue="O0I3R/RA5KvL+epq2ZQjm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185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49235474.313689299</v>
      </c>
      <c r="D9" s="8" t="s">
        <v>3</v>
      </c>
      <c r="E9" s="1"/>
    </row>
    <row r="10" spans="1:5" ht="17.100000000000001" customHeight="1" x14ac:dyDescent="0.25">
      <c r="A10" s="1"/>
      <c r="B10" s="48" t="s">
        <v>48</v>
      </c>
      <c r="C10" s="7">
        <f>'Fane 10.1. Varige tillæg'!C14</f>
        <v>695163.777</v>
      </c>
      <c r="D10" s="8" t="s">
        <v>3</v>
      </c>
      <c r="E10" s="1"/>
    </row>
    <row r="11" spans="1:5" ht="17.100000000000001" customHeight="1" x14ac:dyDescent="0.25">
      <c r="A11" s="1"/>
      <c r="B11" s="48" t="s">
        <v>49</v>
      </c>
      <c r="C11" s="9">
        <f>'Fane 10.1. Varige tillæg'!E14</f>
        <v>1595274.7734000001</v>
      </c>
      <c r="D11" s="8" t="s">
        <v>3</v>
      </c>
      <c r="E11" s="1"/>
    </row>
    <row r="12" spans="1:5" ht="17.100000000000001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20</v>
      </c>
      <c r="C16" s="9">
        <f>C9*'Fane 14. Nøgletal'!C12+SUM(C10:C15)*'Fane 14. Nøgletal'!C13</f>
        <v>997882.19429455919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-497023.23481644713</v>
      </c>
      <c r="D17" s="8" t="s">
        <v>3</v>
      </c>
      <c r="E17" s="1"/>
    </row>
    <row r="18" spans="1:5" ht="17.100000000000001" customHeight="1" x14ac:dyDescent="0.25">
      <c r="A18" s="1"/>
      <c r="B18" s="48" t="s">
        <v>29</v>
      </c>
      <c r="C18" s="9">
        <f>-'Fane 4.1. Gen. krav - drift'!G34</f>
        <v>-346119.17305898853</v>
      </c>
      <c r="D18" s="8" t="s">
        <v>3</v>
      </c>
      <c r="E18" s="1"/>
    </row>
    <row r="19" spans="1:5" ht="17.100000000000001" customHeight="1" x14ac:dyDescent="0.25">
      <c r="A19" s="1"/>
      <c r="B19" s="48" t="s">
        <v>30</v>
      </c>
      <c r="C19" s="9">
        <f>-'Fane 4.2. Gen. krav - anlæg'!G31</f>
        <v>-1038626.5464403332</v>
      </c>
      <c r="D19" s="8" t="s">
        <v>3</v>
      </c>
      <c r="E19" s="1"/>
    </row>
    <row r="20" spans="1:5" ht="17.100000000000001" customHeight="1" x14ac:dyDescent="0.25">
      <c r="A20" s="1"/>
      <c r="B20" s="52" t="s">
        <v>22</v>
      </c>
      <c r="C20" s="10">
        <f>SUM(C9:C19)</f>
        <v>50642026.104068093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omk.'!C14+'Fane 6. Ikke-påvirkelige omk.'!C18+'Fane 6. Ikke-påvirkelige omk.'!C26</f>
        <v>1371642.4223686801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52" t="s">
        <v>114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2" t="s">
        <v>115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0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0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52013668.526436776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188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23</v>
      </c>
      <c r="C5" s="79"/>
      <c r="D5" s="79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50642026.104068093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617832.71846963081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-485062.83332901314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-343334.99043090193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-990495.7032727031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49440965.295505106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Nøgletal'!C13)+'Fane 6. Ikke-påvirkelige omk.'!C19+'Fane 6. Ikke-påvirkelige omk.'!C27</f>
        <v>1388376.4599215779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50829341.755426683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189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23</v>
      </c>
      <c r="C5" s="79"/>
      <c r="D5" s="79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49440965.295505106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603179.7766051623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-473558.75255616277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-340573.20376787573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-975008.80770418281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48255004.308082052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Nøgletal'!C13)^2+'Fane 6. Ikke-påvirkelige omk.'!C20+'Fane 6. Ikke-påvirkelige omk.'!C28</f>
        <v>1405314.6527326214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49660318.96081467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191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23</v>
      </c>
      <c r="C5" s="79"/>
      <c r="D5" s="79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48255004.308082052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588711.05255860102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-462199.30189763376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-337833.63291676692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-959764.05749132426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47083918.368334934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Nøgletal'!C13)^3+'Fane 6. Ikke-påvirkelige omk.'!C21+'Fane 6. Ikke-påvirkelige omk.'!C29</f>
        <v>1422459.4914959592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48506377.859830894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showWhiteSpace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194</v>
      </c>
      <c r="C3" s="89"/>
      <c r="D3" s="89"/>
      <c r="E3" s="89"/>
      <c r="F3" s="89"/>
      <c r="G3" s="1"/>
    </row>
    <row r="4" spans="1:7" ht="29.2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80" t="s">
        <v>25</v>
      </c>
      <c r="C9" s="81"/>
      <c r="D9" s="82"/>
      <c r="E9" s="7">
        <v>50068042.492862582</v>
      </c>
      <c r="F9" s="8" t="s">
        <v>3</v>
      </c>
      <c r="G9" s="1"/>
    </row>
    <row r="10" spans="1:7" ht="15" customHeight="1" x14ac:dyDescent="0.25">
      <c r="A10" s="1"/>
      <c r="B10" s="83" t="s">
        <v>48</v>
      </c>
      <c r="C10" s="84"/>
      <c r="D10" s="90"/>
      <c r="E10" s="7">
        <v>0</v>
      </c>
      <c r="F10" s="8" t="s">
        <v>3</v>
      </c>
      <c r="G10" s="1"/>
    </row>
    <row r="11" spans="1:7" ht="15" customHeight="1" x14ac:dyDescent="0.25">
      <c r="A11" s="1"/>
      <c r="B11" s="83" t="s">
        <v>49</v>
      </c>
      <c r="C11" s="84"/>
      <c r="D11" s="90"/>
      <c r="E11" s="9">
        <v>0</v>
      </c>
      <c r="F11" s="8" t="s">
        <v>3</v>
      </c>
      <c r="G11" s="1"/>
    </row>
    <row r="12" spans="1:7" ht="15" customHeight="1" x14ac:dyDescent="0.25">
      <c r="A12" s="1"/>
      <c r="B12" s="83" t="s">
        <v>32</v>
      </c>
      <c r="C12" s="84"/>
      <c r="D12" s="90"/>
      <c r="E12" s="9">
        <v>0</v>
      </c>
      <c r="F12" s="8" t="s">
        <v>3</v>
      </c>
      <c r="G12" s="1"/>
    </row>
    <row r="13" spans="1:7" ht="15" customHeight="1" x14ac:dyDescent="0.25">
      <c r="A13" s="1"/>
      <c r="B13" s="80" t="s">
        <v>31</v>
      </c>
      <c r="C13" s="81"/>
      <c r="D13" s="82"/>
      <c r="E13" s="9">
        <v>0</v>
      </c>
      <c r="F13" s="8" t="s">
        <v>3</v>
      </c>
      <c r="G13" s="1"/>
    </row>
    <row r="14" spans="1:7" ht="15" customHeight="1" x14ac:dyDescent="0.25">
      <c r="A14" s="1"/>
      <c r="B14" s="80" t="s">
        <v>34</v>
      </c>
      <c r="C14" s="81"/>
      <c r="D14" s="82"/>
      <c r="E14" s="9">
        <v>0</v>
      </c>
      <c r="F14" s="8" t="s">
        <v>3</v>
      </c>
      <c r="G14" s="1"/>
    </row>
    <row r="15" spans="1:7" ht="15" customHeight="1" x14ac:dyDescent="0.25">
      <c r="A15" s="1"/>
      <c r="B15" s="80" t="s">
        <v>33</v>
      </c>
      <c r="C15" s="81"/>
      <c r="D15" s="82"/>
      <c r="E15" s="9">
        <v>0</v>
      </c>
      <c r="F15" s="8" t="s">
        <v>3</v>
      </c>
      <c r="G15" s="1"/>
    </row>
    <row r="16" spans="1:7" ht="15" customHeight="1" x14ac:dyDescent="0.25">
      <c r="A16" s="1"/>
      <c r="B16" s="80" t="s">
        <v>20</v>
      </c>
      <c r="C16" s="81"/>
      <c r="D16" s="82"/>
      <c r="E16" s="9">
        <f>SUM(E9:E15)*'Fane 14. Nøgletal'!C12</f>
        <v>986340.43710939283</v>
      </c>
      <c r="F16" s="8" t="s">
        <v>3</v>
      </c>
      <c r="G16" s="1"/>
    </row>
    <row r="17" spans="1:7" ht="15" customHeight="1" x14ac:dyDescent="0.25">
      <c r="A17" s="1"/>
      <c r="B17" s="80" t="s">
        <v>10</v>
      </c>
      <c r="C17" s="81"/>
      <c r="D17" s="82"/>
      <c r="E17" s="9">
        <f>-SUM(E9:E16)*'Fane 5. Individuelt eff. krav'!G11</f>
        <v>-483118.45187892369</v>
      </c>
      <c r="F17" s="8" t="s">
        <v>3</v>
      </c>
      <c r="G17" s="1"/>
    </row>
    <row r="18" spans="1:7" ht="15" customHeight="1" x14ac:dyDescent="0.25">
      <c r="A18" s="1"/>
      <c r="B18" s="80" t="s">
        <v>29</v>
      </c>
      <c r="C18" s="81"/>
      <c r="D18" s="82"/>
      <c r="E18" s="9">
        <f>-'Fane 4.1. Gen. krav - drift'!G28</f>
        <v>-332276.87771053164</v>
      </c>
      <c r="F18" s="8" t="s">
        <v>3</v>
      </c>
      <c r="G18" s="1"/>
    </row>
    <row r="19" spans="1:7" ht="15" customHeight="1" x14ac:dyDescent="0.25">
      <c r="A19" s="1"/>
      <c r="B19" s="80" t="s">
        <v>30</v>
      </c>
      <c r="C19" s="81"/>
      <c r="D19" s="82"/>
      <c r="E19" s="9">
        <f>-'Fane 4.2. Gen. krav - anlæg'!G25</f>
        <v>-1003513.2866932277</v>
      </c>
      <c r="F19" s="8" t="s">
        <v>3</v>
      </c>
      <c r="G19" s="1"/>
    </row>
    <row r="20" spans="1:7" ht="15" customHeight="1" x14ac:dyDescent="0.25">
      <c r="A20" s="1"/>
      <c r="B20" s="52" t="s">
        <v>22</v>
      </c>
      <c r="C20" s="53"/>
      <c r="D20" s="55"/>
      <c r="E20" s="10">
        <f>SUM(E9:E19)</f>
        <v>49235474.313689299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7" t="s">
        <v>13</v>
      </c>
      <c r="C22" s="88"/>
      <c r="D22" s="91"/>
      <c r="E22" s="10">
        <v>1457107.0399215</v>
      </c>
      <c r="F22" s="11" t="s">
        <v>3</v>
      </c>
      <c r="G22" s="1"/>
    </row>
    <row r="23" spans="1:7" ht="15" customHeight="1" x14ac:dyDescent="0.25">
      <c r="A23" s="1"/>
      <c r="B23" s="92" t="s">
        <v>114</v>
      </c>
      <c r="C23" s="93"/>
      <c r="D23" s="94"/>
      <c r="E23" s="32"/>
      <c r="F23" s="32"/>
      <c r="G23" s="1"/>
    </row>
    <row r="24" spans="1:7" ht="15" customHeight="1" x14ac:dyDescent="0.25">
      <c r="A24" s="1"/>
      <c r="B24" s="52" t="s">
        <v>114</v>
      </c>
      <c r="C24" s="44"/>
      <c r="D24" s="45"/>
      <c r="E24" s="10">
        <v>0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3" t="s">
        <v>109</v>
      </c>
      <c r="C26" s="84"/>
      <c r="D26" s="90"/>
      <c r="E26" s="9">
        <v>0</v>
      </c>
      <c r="F26" s="8" t="s">
        <v>3</v>
      </c>
      <c r="G26" s="1"/>
    </row>
    <row r="27" spans="1:7" ht="15" customHeight="1" x14ac:dyDescent="0.25">
      <c r="A27" s="1"/>
      <c r="B27" s="83" t="s">
        <v>110</v>
      </c>
      <c r="C27" s="84"/>
      <c r="D27" s="84"/>
      <c r="E27" s="9">
        <v>0</v>
      </c>
      <c r="F27" s="8" t="s">
        <v>3</v>
      </c>
      <c r="G27" s="1"/>
    </row>
    <row r="28" spans="1:7" ht="15" customHeight="1" x14ac:dyDescent="0.25">
      <c r="A28" s="1"/>
      <c r="B28" s="85" t="s">
        <v>115</v>
      </c>
      <c r="C28" s="86"/>
      <c r="D28" s="86"/>
      <c r="E28" s="46">
        <v>0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7" t="s">
        <v>260</v>
      </c>
      <c r="C30" s="88"/>
      <c r="D30" s="88"/>
      <c r="E30" s="46">
        <v>0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7" t="s">
        <v>262</v>
      </c>
      <c r="C32" s="88"/>
      <c r="D32" s="88"/>
      <c r="E32" s="46">
        <v>0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7" t="s">
        <v>264</v>
      </c>
      <c r="C34" s="88"/>
      <c r="D34" s="91"/>
      <c r="E34" s="10">
        <v>0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50692581.353610799</v>
      </c>
      <c r="F35" s="13" t="s">
        <v>3</v>
      </c>
      <c r="G35" s="1"/>
    </row>
    <row r="36" spans="1:7" ht="27" customHeight="1" x14ac:dyDescent="0.25">
      <c r="A36" s="1"/>
      <c r="B36" s="80" t="s">
        <v>218</v>
      </c>
      <c r="C36" s="81"/>
      <c r="D36" s="81"/>
      <c r="E36" s="81"/>
      <c r="F36" s="82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/U9vjaCoEanb37QK5jtBk+mtkQRv7n94JyhtT3hugKOHV5rmFr37GPX0NMWSoI939kfTxzDhXzWJ+3hnr6pdxw==" saltValue="W3s+i5rr/lMsxnVGBifuWw==" spinCount="100000" sheet="1" objects="1" scenarios="1"/>
  <mergeCells count="21">
    <mergeCell ref="B18:D18"/>
    <mergeCell ref="B19:D19"/>
    <mergeCell ref="B26:D26"/>
    <mergeCell ref="B34:D34"/>
    <mergeCell ref="B22:D22"/>
    <mergeCell ref="B23:D23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36:F36"/>
    <mergeCell ref="B27:D27"/>
    <mergeCell ref="B28:D28"/>
    <mergeCell ref="B32:D32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9" t="s">
        <v>163</v>
      </c>
      <c r="C2" s="89"/>
      <c r="D2" s="89"/>
      <c r="E2" s="89"/>
      <c r="F2" s="89"/>
      <c r="G2" s="89"/>
      <c r="H2" s="89"/>
      <c r="I2" s="1"/>
    </row>
    <row r="3" spans="1:9" ht="28.5" customHeight="1" x14ac:dyDescent="0.25">
      <c r="A3" s="1"/>
      <c r="B3" s="89"/>
      <c r="C3" s="89"/>
      <c r="D3" s="89"/>
      <c r="E3" s="89"/>
      <c r="F3" s="89"/>
      <c r="G3" s="89"/>
      <c r="H3" s="89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92" t="s">
        <v>67</v>
      </c>
      <c r="C5" s="93"/>
      <c r="D5" s="93"/>
      <c r="E5" s="93"/>
      <c r="F5" s="93"/>
      <c r="G5" s="93"/>
      <c r="H5" s="94"/>
      <c r="I5" s="1"/>
    </row>
    <row r="6" spans="1:9" x14ac:dyDescent="0.25">
      <c r="A6" s="1"/>
      <c r="B6" s="95" t="s">
        <v>56</v>
      </c>
      <c r="C6" s="96"/>
      <c r="D6" s="96"/>
      <c r="E6" s="96"/>
      <c r="F6" s="97"/>
      <c r="G6" s="24">
        <v>16593658</v>
      </c>
      <c r="H6" s="14" t="s">
        <v>3</v>
      </c>
      <c r="I6" s="1"/>
    </row>
    <row r="7" spans="1:9" x14ac:dyDescent="0.25">
      <c r="A7" s="1"/>
      <c r="B7" s="80" t="s">
        <v>181</v>
      </c>
      <c r="C7" s="81"/>
      <c r="D7" s="81"/>
      <c r="E7" s="81"/>
      <c r="F7" s="82"/>
      <c r="G7" s="57">
        <v>0</v>
      </c>
      <c r="H7" s="14" t="s">
        <v>3</v>
      </c>
      <c r="I7" s="1"/>
    </row>
    <row r="8" spans="1:9" x14ac:dyDescent="0.25">
      <c r="A8" s="1"/>
      <c r="B8" s="95" t="s">
        <v>57</v>
      </c>
      <c r="C8" s="96"/>
      <c r="D8" s="96"/>
      <c r="E8" s="96"/>
      <c r="F8" s="97"/>
      <c r="G8" s="24">
        <f>SUM(G6:G7)*'Fane 14. Nøgletal'!C27</f>
        <v>331873.16000000003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2" t="s">
        <v>68</v>
      </c>
      <c r="C11" s="93"/>
      <c r="D11" s="93"/>
      <c r="E11" s="93"/>
      <c r="F11" s="93"/>
      <c r="G11" s="93"/>
      <c r="H11" s="94"/>
      <c r="I11" s="1"/>
    </row>
    <row r="12" spans="1:9" x14ac:dyDescent="0.25">
      <c r="A12" s="1"/>
      <c r="B12" s="95" t="s">
        <v>58</v>
      </c>
      <c r="C12" s="96"/>
      <c r="D12" s="96"/>
      <c r="E12" s="96"/>
      <c r="F12" s="97"/>
      <c r="G12" s="24">
        <f>(G6-G8)*(1+'Fane 14. Nøgletal'!C10)</f>
        <v>16546366.074700002</v>
      </c>
      <c r="H12" s="14" t="s">
        <v>3</v>
      </c>
      <c r="I12" s="1"/>
    </row>
    <row r="13" spans="1:9" ht="15" customHeight="1" x14ac:dyDescent="0.25">
      <c r="A13" s="1"/>
      <c r="B13" s="95" t="s">
        <v>182</v>
      </c>
      <c r="C13" s="96"/>
      <c r="D13" s="96"/>
      <c r="E13" s="96"/>
      <c r="F13" s="97"/>
      <c r="G13" s="24">
        <f>(16718015.3365206-G6)*1.0175</f>
        <v>126533.5899097097</v>
      </c>
      <c r="H13" s="14" t="s">
        <v>3</v>
      </c>
      <c r="I13" s="1"/>
    </row>
    <row r="14" spans="1:9" x14ac:dyDescent="0.25">
      <c r="A14" s="1"/>
      <c r="B14" s="80" t="s">
        <v>179</v>
      </c>
      <c r="C14" s="81"/>
      <c r="D14" s="81"/>
      <c r="E14" s="81"/>
      <c r="F14" s="82"/>
      <c r="G14" s="57">
        <v>0</v>
      </c>
      <c r="H14" s="14" t="s">
        <v>3</v>
      </c>
      <c r="I14" s="1"/>
    </row>
    <row r="15" spans="1:9" x14ac:dyDescent="0.25">
      <c r="A15" s="1"/>
      <c r="B15" s="98" t="s">
        <v>59</v>
      </c>
      <c r="C15" s="99"/>
      <c r="D15" s="99"/>
      <c r="E15" s="99"/>
      <c r="F15" s="100"/>
      <c r="G15" s="57">
        <v>0</v>
      </c>
      <c r="H15" s="14" t="s">
        <v>3</v>
      </c>
      <c r="I15" s="1"/>
    </row>
    <row r="16" spans="1:9" x14ac:dyDescent="0.25">
      <c r="A16" s="1"/>
      <c r="B16" s="95" t="s">
        <v>60</v>
      </c>
      <c r="C16" s="96"/>
      <c r="D16" s="96"/>
      <c r="E16" s="96"/>
      <c r="F16" s="97"/>
      <c r="G16" s="24">
        <f>SUM(G12:G15)*'Fane 14. Nøgletal'!C27</f>
        <v>333457.99329219427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2" t="s">
        <v>69</v>
      </c>
      <c r="C19" s="93"/>
      <c r="D19" s="93"/>
      <c r="E19" s="93"/>
      <c r="F19" s="93"/>
      <c r="G19" s="93"/>
      <c r="H19" s="94"/>
      <c r="I19" s="1"/>
    </row>
    <row r="20" spans="1:9" x14ac:dyDescent="0.25">
      <c r="A20" s="1"/>
      <c r="B20" s="95" t="s">
        <v>61</v>
      </c>
      <c r="C20" s="96"/>
      <c r="D20" s="96"/>
      <c r="E20" s="96"/>
      <c r="F20" s="97"/>
      <c r="G20" s="24">
        <f>(SUM(G12:G13,G15)-(G16))*(1+'Fane 14. Nøgletal'!C10)</f>
        <v>16625381.900565576</v>
      </c>
      <c r="H20" s="14" t="s">
        <v>3</v>
      </c>
      <c r="I20" s="1"/>
    </row>
    <row r="21" spans="1:9" x14ac:dyDescent="0.25">
      <c r="A21" s="1"/>
      <c r="B21" s="98" t="s">
        <v>62</v>
      </c>
      <c r="C21" s="99"/>
      <c r="D21" s="99"/>
      <c r="E21" s="99"/>
      <c r="F21" s="100"/>
      <c r="G21" s="57">
        <v>0</v>
      </c>
      <c r="H21" s="14" t="s">
        <v>3</v>
      </c>
      <c r="I21" s="1"/>
    </row>
    <row r="22" spans="1:9" x14ac:dyDescent="0.25">
      <c r="A22" s="1"/>
      <c r="B22" s="95" t="s">
        <v>63</v>
      </c>
      <c r="C22" s="96"/>
      <c r="D22" s="96"/>
      <c r="E22" s="96"/>
      <c r="F22" s="97"/>
      <c r="G22" s="24">
        <f>SUM(G20:G21)*'Fane 14. Nøgletal'!C27</f>
        <v>332507.63801131153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2" t="s">
        <v>70</v>
      </c>
      <c r="C25" s="93"/>
      <c r="D25" s="93"/>
      <c r="E25" s="93"/>
      <c r="F25" s="93"/>
      <c r="G25" s="93"/>
      <c r="H25" s="94"/>
      <c r="I25" s="1"/>
    </row>
    <row r="26" spans="1:9" x14ac:dyDescent="0.25">
      <c r="A26" s="1"/>
      <c r="B26" s="95" t="s">
        <v>64</v>
      </c>
      <c r="C26" s="96"/>
      <c r="D26" s="96"/>
      <c r="E26" s="96"/>
      <c r="F26" s="97"/>
      <c r="G26" s="24">
        <f>(G20+G21-G22)*(1+'Fane 14. Nøgletal'!C12)</f>
        <v>16613843.885526583</v>
      </c>
      <c r="H26" s="14" t="s">
        <v>3</v>
      </c>
      <c r="I26" s="1"/>
    </row>
    <row r="27" spans="1:9" x14ac:dyDescent="0.25">
      <c r="A27" s="1"/>
      <c r="B27" s="98" t="s">
        <v>65</v>
      </c>
      <c r="C27" s="99"/>
      <c r="D27" s="99"/>
      <c r="E27" s="99"/>
      <c r="F27" s="100"/>
      <c r="G27" s="57">
        <v>0</v>
      </c>
      <c r="H27" s="14" t="s">
        <v>3</v>
      </c>
      <c r="I27" s="1"/>
    </row>
    <row r="28" spans="1:9" x14ac:dyDescent="0.25">
      <c r="A28" s="1"/>
      <c r="B28" s="95" t="s">
        <v>66</v>
      </c>
      <c r="C28" s="96"/>
      <c r="D28" s="96"/>
      <c r="E28" s="96"/>
      <c r="F28" s="97"/>
      <c r="G28" s="24">
        <f>(G26+G27)*'Fane 14. Nøgletal'!C27</f>
        <v>332276.87771053164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2" t="s">
        <v>73</v>
      </c>
      <c r="C31" s="93"/>
      <c r="D31" s="93"/>
      <c r="E31" s="93"/>
      <c r="F31" s="93"/>
      <c r="G31" s="93"/>
      <c r="H31" s="94"/>
      <c r="I31" s="1"/>
    </row>
    <row r="32" spans="1:9" x14ac:dyDescent="0.25">
      <c r="A32" s="1"/>
      <c r="B32" s="95" t="s">
        <v>74</v>
      </c>
      <c r="C32" s="96"/>
      <c r="D32" s="96"/>
      <c r="E32" s="96"/>
      <c r="F32" s="97"/>
      <c r="G32" s="24">
        <f>(G26+G27-G28)*(1+'Fane 14. Nøgletal'!C12)</f>
        <v>16602313.877870027</v>
      </c>
      <c r="H32" s="14" t="s">
        <v>3</v>
      </c>
      <c r="I32" s="1"/>
    </row>
    <row r="33" spans="1:9" x14ac:dyDescent="0.25">
      <c r="A33" s="1"/>
      <c r="B33" s="95" t="s">
        <v>230</v>
      </c>
      <c r="C33" s="96"/>
      <c r="D33" s="96"/>
      <c r="E33" s="96"/>
      <c r="F33" s="97"/>
      <c r="G33" s="24">
        <f>SUM('Fane 2.1. Økonomisk ramme 2021'!C10,'Fane 2.1. Økonomisk ramme 2021'!C12,'Fane 2.1. Økonomisk ramme 2021'!C14)*(1+'Fane 14. Nøgletal'!C13)</f>
        <v>703644.77507940005</v>
      </c>
      <c r="H33" s="14" t="s">
        <v>3</v>
      </c>
      <c r="I33" s="1"/>
    </row>
    <row r="34" spans="1:9" x14ac:dyDescent="0.25">
      <c r="A34" s="1"/>
      <c r="B34" s="95" t="s">
        <v>75</v>
      </c>
      <c r="C34" s="96"/>
      <c r="D34" s="96"/>
      <c r="E34" s="96"/>
      <c r="F34" s="97"/>
      <c r="G34" s="24">
        <f>(G32+G33)*'Fane 14. Nøgletal'!C27</f>
        <v>346119.17305898853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2" t="s">
        <v>100</v>
      </c>
      <c r="C37" s="93"/>
      <c r="D37" s="93"/>
      <c r="E37" s="93"/>
      <c r="F37" s="93"/>
      <c r="G37" s="93"/>
      <c r="H37" s="94"/>
      <c r="I37" s="1"/>
    </row>
    <row r="38" spans="1:9" x14ac:dyDescent="0.25">
      <c r="A38" s="1"/>
      <c r="B38" s="95" t="s">
        <v>99</v>
      </c>
      <c r="C38" s="96"/>
      <c r="D38" s="96"/>
      <c r="E38" s="96"/>
      <c r="F38" s="97"/>
      <c r="G38" s="24">
        <f>(G32+G33-G34)*(1+'Fane 14. Nøgletal'!C13)</f>
        <v>17166749.521545097</v>
      </c>
      <c r="H38" s="14" t="s">
        <v>3</v>
      </c>
      <c r="I38" s="1"/>
    </row>
    <row r="39" spans="1:9" x14ac:dyDescent="0.25">
      <c r="A39" s="1"/>
      <c r="B39" s="95" t="s">
        <v>117</v>
      </c>
      <c r="C39" s="96"/>
      <c r="D39" s="96"/>
      <c r="E39" s="96"/>
      <c r="F39" s="97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5" t="s">
        <v>76</v>
      </c>
      <c r="C40" s="96"/>
      <c r="D40" s="96"/>
      <c r="E40" s="96"/>
      <c r="F40" s="97"/>
      <c r="G40" s="24">
        <f>(G38+G39)*'Fane 14. Nøgletal'!C27</f>
        <v>343334.99043090193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2" t="s">
        <v>101</v>
      </c>
      <c r="C43" s="93"/>
      <c r="D43" s="93"/>
      <c r="E43" s="93"/>
      <c r="F43" s="93"/>
      <c r="G43" s="93"/>
      <c r="H43" s="94"/>
      <c r="I43" s="1"/>
    </row>
    <row r="44" spans="1:9" x14ac:dyDescent="0.25">
      <c r="A44" s="1"/>
      <c r="B44" s="95" t="s">
        <v>98</v>
      </c>
      <c r="C44" s="96"/>
      <c r="D44" s="96"/>
      <c r="E44" s="96"/>
      <c r="F44" s="97"/>
      <c r="G44" s="24">
        <f>(G38+G39-G40)*(1+'Fane 14. Nøgletal'!C13)</f>
        <v>17028660.188393787</v>
      </c>
      <c r="H44" s="14" t="s">
        <v>3</v>
      </c>
      <c r="I44" s="1"/>
    </row>
    <row r="45" spans="1:9" x14ac:dyDescent="0.25">
      <c r="A45" s="1"/>
      <c r="B45" s="95" t="s">
        <v>118</v>
      </c>
      <c r="C45" s="96"/>
      <c r="D45" s="96"/>
      <c r="E45" s="96"/>
      <c r="F45" s="97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5" t="s">
        <v>77</v>
      </c>
      <c r="C46" s="96"/>
      <c r="D46" s="96"/>
      <c r="E46" s="96"/>
      <c r="F46" s="97"/>
      <c r="G46" s="24">
        <f>(G44+G45)*'Fane 14. Nøgletal'!C27</f>
        <v>340573.20376787573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92" t="s">
        <v>231</v>
      </c>
      <c r="C51" s="93"/>
      <c r="D51" s="93"/>
      <c r="E51" s="93"/>
      <c r="F51" s="93"/>
      <c r="G51" s="93"/>
      <c r="H51" s="94"/>
      <c r="I51" s="1"/>
    </row>
    <row r="52" spans="1:9" x14ac:dyDescent="0.25">
      <c r="A52" s="1"/>
      <c r="B52" s="95" t="s">
        <v>232</v>
      </c>
      <c r="C52" s="96"/>
      <c r="D52" s="96"/>
      <c r="E52" s="96"/>
      <c r="F52" s="97"/>
      <c r="G52" s="24">
        <f>(G44+G45-G46)*(1+'Fane 14. Nøgletal'!C13)</f>
        <v>16891681.645838346</v>
      </c>
      <c r="H52" s="14" t="s">
        <v>3</v>
      </c>
      <c r="I52" s="1"/>
    </row>
    <row r="53" spans="1:9" x14ac:dyDescent="0.25">
      <c r="A53" s="1"/>
      <c r="B53" s="95" t="s">
        <v>233</v>
      </c>
      <c r="C53" s="96"/>
      <c r="D53" s="96"/>
      <c r="E53" s="96"/>
      <c r="F53" s="97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5" t="s">
        <v>234</v>
      </c>
      <c r="C54" s="96"/>
      <c r="D54" s="96"/>
      <c r="E54" s="96"/>
      <c r="F54" s="97"/>
      <c r="G54" s="24">
        <f>(G52+G53)*'Fane 14. Nøgletal'!C27</f>
        <v>337833.63291676692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12:F12"/>
    <mergeCell ref="B11:H11"/>
    <mergeCell ref="B7:F7"/>
    <mergeCell ref="B2:H3"/>
    <mergeCell ref="B25:H25"/>
    <mergeCell ref="B5:H5"/>
    <mergeCell ref="B6:F6"/>
    <mergeCell ref="B8:F8"/>
    <mergeCell ref="B43:H43"/>
    <mergeCell ref="B44:F44"/>
    <mergeCell ref="B46:F46"/>
    <mergeCell ref="B39:F39"/>
    <mergeCell ref="B45:F45"/>
    <mergeCell ref="B40:F40"/>
    <mergeCell ref="B27:F27"/>
    <mergeCell ref="B28:F28"/>
    <mergeCell ref="B38:F38"/>
    <mergeCell ref="B33:F33"/>
    <mergeCell ref="B34:F34"/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101" t="s">
        <v>164</v>
      </c>
      <c r="C1" s="101"/>
      <c r="D1" s="101"/>
      <c r="E1" s="101"/>
      <c r="F1" s="101"/>
      <c r="G1" s="101"/>
      <c r="H1" s="101"/>
      <c r="I1" s="1"/>
    </row>
    <row r="2" spans="1:9" ht="15" customHeight="1" x14ac:dyDescent="0.25">
      <c r="A2" s="1"/>
      <c r="B2" s="101"/>
      <c r="C2" s="101"/>
      <c r="D2" s="101"/>
      <c r="E2" s="101"/>
      <c r="F2" s="101"/>
      <c r="G2" s="101"/>
      <c r="H2" s="101"/>
      <c r="I2" s="1"/>
    </row>
    <row r="3" spans="1:9" ht="15" customHeight="1" x14ac:dyDescent="0.25">
      <c r="A3" s="1"/>
      <c r="B3" s="102"/>
      <c r="C3" s="102"/>
      <c r="D3" s="102"/>
      <c r="E3" s="102"/>
      <c r="F3" s="102"/>
      <c r="G3" s="102"/>
      <c r="H3" s="102"/>
      <c r="I3" s="1"/>
    </row>
    <row r="4" spans="1:9" x14ac:dyDescent="0.25">
      <c r="A4" s="1"/>
      <c r="B4" s="92" t="s">
        <v>71</v>
      </c>
      <c r="C4" s="93"/>
      <c r="D4" s="93"/>
      <c r="E4" s="93"/>
      <c r="F4" s="93"/>
      <c r="G4" s="93"/>
      <c r="H4" s="94"/>
      <c r="I4" s="1"/>
    </row>
    <row r="5" spans="1:9" x14ac:dyDescent="0.25">
      <c r="A5" s="1"/>
      <c r="B5" s="95" t="s">
        <v>78</v>
      </c>
      <c r="C5" s="96"/>
      <c r="D5" s="96"/>
      <c r="E5" s="96"/>
      <c r="F5" s="97"/>
      <c r="G5" s="24">
        <v>34868293</v>
      </c>
      <c r="H5" s="14" t="s">
        <v>3</v>
      </c>
      <c r="I5" s="1"/>
    </row>
    <row r="6" spans="1:9" x14ac:dyDescent="0.25">
      <c r="A6" s="1"/>
      <c r="B6" s="95" t="s">
        <v>72</v>
      </c>
      <c r="C6" s="96"/>
      <c r="D6" s="96"/>
      <c r="E6" s="96"/>
      <c r="F6" s="97"/>
      <c r="G6" s="24">
        <f>G5*'Fane 14. Nøgletal'!C18</f>
        <v>317301.46630000003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2" t="s">
        <v>79</v>
      </c>
      <c r="C9" s="93"/>
      <c r="D9" s="93"/>
      <c r="E9" s="93"/>
      <c r="F9" s="93"/>
      <c r="G9" s="93"/>
      <c r="H9" s="94"/>
      <c r="I9" s="1"/>
    </row>
    <row r="10" spans="1:9" x14ac:dyDescent="0.25">
      <c r="A10" s="1"/>
      <c r="B10" s="95" t="s">
        <v>80</v>
      </c>
      <c r="C10" s="96"/>
      <c r="D10" s="96"/>
      <c r="E10" s="96"/>
      <c r="F10" s="97"/>
      <c r="G10" s="24">
        <f>(G5-G6)*(1+'Fane 14. Nøgletal'!C10)</f>
        <v>35155633.885539748</v>
      </c>
      <c r="H10" s="14" t="s">
        <v>3</v>
      </c>
      <c r="I10" s="1"/>
    </row>
    <row r="11" spans="1:9" x14ac:dyDescent="0.25">
      <c r="A11" s="1"/>
      <c r="B11" s="95" t="s">
        <v>183</v>
      </c>
      <c r="C11" s="96"/>
      <c r="D11" s="96"/>
      <c r="E11" s="96"/>
      <c r="F11" s="97"/>
      <c r="G11" s="24">
        <f>(35004980.6406137-G5)*1.0175</f>
        <v>139079.67432443719</v>
      </c>
      <c r="H11" s="14" t="s">
        <v>3</v>
      </c>
      <c r="I11" s="1"/>
    </row>
    <row r="12" spans="1:9" x14ac:dyDescent="0.25">
      <c r="A12" s="1"/>
      <c r="B12" s="98" t="s">
        <v>81</v>
      </c>
      <c r="C12" s="99"/>
      <c r="D12" s="99"/>
      <c r="E12" s="99"/>
      <c r="F12" s="100"/>
      <c r="G12" s="57">
        <v>0</v>
      </c>
      <c r="H12" s="14" t="s">
        <v>3</v>
      </c>
      <c r="I12" s="1"/>
    </row>
    <row r="13" spans="1:9" x14ac:dyDescent="0.25">
      <c r="A13" s="1"/>
      <c r="B13" s="95" t="s">
        <v>82</v>
      </c>
      <c r="C13" s="96"/>
      <c r="D13" s="96"/>
      <c r="E13" s="96"/>
      <c r="F13" s="97"/>
      <c r="G13" s="24">
        <f>SUM(G10:G12)*'Fane 14. Nøgletal'!C19</f>
        <v>624716.43000959605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2" t="s">
        <v>83</v>
      </c>
      <c r="C16" s="93"/>
      <c r="D16" s="93"/>
      <c r="E16" s="93"/>
      <c r="F16" s="93"/>
      <c r="G16" s="93"/>
      <c r="H16" s="94"/>
      <c r="I16" s="1"/>
    </row>
    <row r="17" spans="1:9" x14ac:dyDescent="0.25">
      <c r="A17" s="1"/>
      <c r="B17" s="95" t="s">
        <v>84</v>
      </c>
      <c r="C17" s="96"/>
      <c r="D17" s="96"/>
      <c r="E17" s="96"/>
      <c r="F17" s="97"/>
      <c r="G17" s="24">
        <f>(SUM(G10:G12)-G13)*(1+'Fane 14. Nøgletal'!C10)</f>
        <v>35276722.079627044</v>
      </c>
      <c r="H17" s="14" t="s">
        <v>3</v>
      </c>
      <c r="I17" s="1"/>
    </row>
    <row r="18" spans="1:9" x14ac:dyDescent="0.25">
      <c r="A18" s="1"/>
      <c r="B18" s="98" t="s">
        <v>85</v>
      </c>
      <c r="C18" s="99"/>
      <c r="D18" s="99"/>
      <c r="E18" s="99"/>
      <c r="F18" s="100"/>
      <c r="G18" s="57">
        <v>0</v>
      </c>
      <c r="H18" s="14" t="s">
        <v>3</v>
      </c>
      <c r="I18" s="1"/>
    </row>
    <row r="19" spans="1:9" x14ac:dyDescent="0.25">
      <c r="A19" s="1"/>
      <c r="B19" s="95" t="s">
        <v>86</v>
      </c>
      <c r="C19" s="96"/>
      <c r="D19" s="96"/>
      <c r="E19" s="96"/>
      <c r="F19" s="97"/>
      <c r="G19" s="24">
        <f>G17*'Fane 14. Nøgletal'!C19+G18*'Fane 14. Nøgletal'!C20</f>
        <v>624397.98080939869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2" t="s">
        <v>87</v>
      </c>
      <c r="C22" s="93"/>
      <c r="D22" s="93"/>
      <c r="E22" s="93"/>
      <c r="F22" s="93"/>
      <c r="G22" s="93"/>
      <c r="H22" s="94"/>
      <c r="I22" s="1"/>
    </row>
    <row r="23" spans="1:9" x14ac:dyDescent="0.25">
      <c r="A23" s="1"/>
      <c r="B23" s="95" t="s">
        <v>88</v>
      </c>
      <c r="C23" s="96"/>
      <c r="D23" s="96"/>
      <c r="E23" s="96"/>
      <c r="F23" s="97"/>
      <c r="G23" s="24">
        <f>(G17+G18-G19)*(1+'Fane 14. Nøgletal'!C12)</f>
        <v>35334974.883564353</v>
      </c>
      <c r="H23" s="14" t="s">
        <v>3</v>
      </c>
      <c r="I23" s="1"/>
    </row>
    <row r="24" spans="1:9" x14ac:dyDescent="0.25">
      <c r="A24" s="1"/>
      <c r="B24" s="98" t="s">
        <v>89</v>
      </c>
      <c r="C24" s="99"/>
      <c r="D24" s="99"/>
      <c r="E24" s="99"/>
      <c r="F24" s="100"/>
      <c r="G24" s="57">
        <v>0</v>
      </c>
      <c r="H24" s="14" t="s">
        <v>3</v>
      </c>
      <c r="I24" s="1"/>
    </row>
    <row r="25" spans="1:9" x14ac:dyDescent="0.25">
      <c r="A25" s="1"/>
      <c r="B25" s="95" t="s">
        <v>90</v>
      </c>
      <c r="C25" s="96"/>
      <c r="D25" s="96"/>
      <c r="E25" s="96"/>
      <c r="F25" s="97"/>
      <c r="G25" s="24">
        <f>(G23+G24)*'Fane 14. Nøgletal'!C21</f>
        <v>1003513.2866932277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2" t="s">
        <v>91</v>
      </c>
      <c r="C28" s="93"/>
      <c r="D28" s="93"/>
      <c r="E28" s="93"/>
      <c r="F28" s="93"/>
      <c r="G28" s="93"/>
      <c r="H28" s="94"/>
      <c r="I28" s="1"/>
    </row>
    <row r="29" spans="1:9" x14ac:dyDescent="0.25">
      <c r="A29" s="1"/>
      <c r="B29" s="95" t="s">
        <v>92</v>
      </c>
      <c r="C29" s="96"/>
      <c r="D29" s="96"/>
      <c r="E29" s="96"/>
      <c r="F29" s="97"/>
      <c r="G29" s="24">
        <f>(G23+G24-G25)*(1+'Fane 14. Nøgletal'!C12)</f>
        <v>35007791.390329488</v>
      </c>
      <c r="H29" s="14" t="s">
        <v>3</v>
      </c>
      <c r="I29" s="1"/>
    </row>
    <row r="30" spans="1:9" x14ac:dyDescent="0.25">
      <c r="A30" s="1"/>
      <c r="B30" s="95" t="s">
        <v>235</v>
      </c>
      <c r="C30" s="96"/>
      <c r="D30" s="96"/>
      <c r="E30" s="96"/>
      <c r="F30" s="97"/>
      <c r="G30" s="24">
        <f>SUM('Fane 2.1. Økonomisk ramme 2021'!C11,'Fane 2.1. Økonomisk ramme 2021'!C13,'Fane 2.1. Økonomisk ramme 2021'!C15)*(1+'Fane 14. Nøgletal'!C13)</f>
        <v>1614737.12563548</v>
      </c>
      <c r="H30" s="14" t="s">
        <v>3</v>
      </c>
      <c r="I30" s="1"/>
    </row>
    <row r="31" spans="1:9" x14ac:dyDescent="0.25">
      <c r="A31" s="1"/>
      <c r="B31" s="95" t="s">
        <v>93</v>
      </c>
      <c r="C31" s="96"/>
      <c r="D31" s="96"/>
      <c r="E31" s="96"/>
      <c r="F31" s="97"/>
      <c r="G31" s="24">
        <f>G29*'Fane 14. Nøgletal'!C21+G30*'Fane 14. Nøgletal'!C22</f>
        <v>1038626.5464403332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2" t="s">
        <v>102</v>
      </c>
      <c r="C34" s="93"/>
      <c r="D34" s="93"/>
      <c r="E34" s="93"/>
      <c r="F34" s="93"/>
      <c r="G34" s="93"/>
      <c r="H34" s="94"/>
      <c r="I34" s="1"/>
    </row>
    <row r="35" spans="1:9" x14ac:dyDescent="0.25">
      <c r="A35" s="1"/>
      <c r="B35" s="95" t="s">
        <v>97</v>
      </c>
      <c r="C35" s="96"/>
      <c r="D35" s="96"/>
      <c r="E35" s="96"/>
      <c r="F35" s="97"/>
      <c r="G35" s="24">
        <f>(G29+G30-G31)*(1+'Fane 14. Nøgletal'!C13)</f>
        <v>36018025.573552839</v>
      </c>
      <c r="H35" s="14" t="s">
        <v>3</v>
      </c>
      <c r="I35" s="1"/>
    </row>
    <row r="36" spans="1:9" x14ac:dyDescent="0.25">
      <c r="A36" s="1"/>
      <c r="B36" s="95" t="s">
        <v>122</v>
      </c>
      <c r="C36" s="96"/>
      <c r="D36" s="96"/>
      <c r="E36" s="96"/>
      <c r="F36" s="97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5" t="s">
        <v>94</v>
      </c>
      <c r="C37" s="96"/>
      <c r="D37" s="96"/>
      <c r="E37" s="96"/>
      <c r="F37" s="97"/>
      <c r="G37" s="24">
        <f>(G35+G36)*'Fane 14. Nøgletal'!C22</f>
        <v>990495.7032727031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2" t="s">
        <v>103</v>
      </c>
      <c r="C40" s="93"/>
      <c r="D40" s="93"/>
      <c r="E40" s="93"/>
      <c r="F40" s="93"/>
      <c r="G40" s="93"/>
      <c r="H40" s="94"/>
      <c r="I40" s="1"/>
    </row>
    <row r="41" spans="1:9" x14ac:dyDescent="0.25">
      <c r="A41" s="1"/>
      <c r="B41" s="95" t="s">
        <v>96</v>
      </c>
      <c r="C41" s="96"/>
      <c r="D41" s="96"/>
      <c r="E41" s="96"/>
      <c r="F41" s="97"/>
      <c r="G41" s="24">
        <f>(G35+G36-G37)*(1+'Fane 14. Nøgletal'!C13)</f>
        <v>35454865.734697558</v>
      </c>
      <c r="H41" s="14" t="s">
        <v>3</v>
      </c>
      <c r="I41" s="1"/>
    </row>
    <row r="42" spans="1:9" x14ac:dyDescent="0.25">
      <c r="A42" s="1"/>
      <c r="B42" s="95" t="s">
        <v>123</v>
      </c>
      <c r="C42" s="96"/>
      <c r="D42" s="96"/>
      <c r="E42" s="96"/>
      <c r="F42" s="97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5" t="s">
        <v>95</v>
      </c>
      <c r="C43" s="96"/>
      <c r="D43" s="96"/>
      <c r="E43" s="96"/>
      <c r="F43" s="97"/>
      <c r="G43" s="24">
        <f>(G41+G42)*'Fane 14. Nøgletal'!C22</f>
        <v>975008.80770418281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2" t="s">
        <v>240</v>
      </c>
      <c r="C46" s="93"/>
      <c r="D46" s="93"/>
      <c r="E46" s="93"/>
      <c r="F46" s="93"/>
      <c r="G46" s="93"/>
      <c r="H46" s="94"/>
      <c r="I46" s="1"/>
    </row>
    <row r="47" spans="1:9" x14ac:dyDescent="0.25">
      <c r="A47" s="1"/>
      <c r="B47" s="95" t="s">
        <v>241</v>
      </c>
      <c r="C47" s="96"/>
      <c r="D47" s="96"/>
      <c r="E47" s="96"/>
      <c r="F47" s="97"/>
      <c r="G47" s="24">
        <f>(G41+G42-G43)*(1+'Fane 14. Nøgletal'!C13)</f>
        <v>34900511.1815027</v>
      </c>
      <c r="H47" s="14" t="s">
        <v>3</v>
      </c>
      <c r="I47" s="1"/>
    </row>
    <row r="48" spans="1:9" x14ac:dyDescent="0.25">
      <c r="A48" s="1"/>
      <c r="B48" s="95" t="s">
        <v>242</v>
      </c>
      <c r="C48" s="96"/>
      <c r="D48" s="96"/>
      <c r="E48" s="96"/>
      <c r="F48" s="97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5" t="s">
        <v>243</v>
      </c>
      <c r="C49" s="96"/>
      <c r="D49" s="96"/>
      <c r="E49" s="96"/>
      <c r="F49" s="97"/>
      <c r="G49" s="24">
        <f>(G47+G48)*'Fane 14. Nøgletal'!C22</f>
        <v>959764.05749132426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116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10</v>
      </c>
      <c r="C8" s="93"/>
      <c r="D8" s="93"/>
      <c r="E8" s="93"/>
      <c r="F8" s="93"/>
      <c r="G8" s="93"/>
      <c r="H8" s="94"/>
      <c r="I8" s="1"/>
    </row>
    <row r="9" spans="1:9" x14ac:dyDescent="0.25">
      <c r="A9" s="1"/>
      <c r="B9" s="95" t="s">
        <v>104</v>
      </c>
      <c r="C9" s="96"/>
      <c r="D9" s="96"/>
      <c r="E9" s="96"/>
      <c r="F9" s="97"/>
      <c r="G9" s="23">
        <v>4.5578747700528383E-3</v>
      </c>
      <c r="H9" s="14"/>
      <c r="I9" s="1"/>
    </row>
    <row r="10" spans="1:9" x14ac:dyDescent="0.25">
      <c r="A10" s="1"/>
      <c r="B10" s="95" t="s">
        <v>105</v>
      </c>
      <c r="C10" s="96"/>
      <c r="D10" s="96"/>
      <c r="E10" s="96"/>
      <c r="F10" s="97"/>
      <c r="G10" s="23">
        <v>6.1277304953944161E-3</v>
      </c>
      <c r="H10" s="14"/>
      <c r="I10" s="1"/>
    </row>
    <row r="11" spans="1:9" x14ac:dyDescent="0.25">
      <c r="A11" s="1"/>
      <c r="B11" s="95" t="s">
        <v>106</v>
      </c>
      <c r="C11" s="96"/>
      <c r="D11" s="96"/>
      <c r="E11" s="96"/>
      <c r="F11" s="97"/>
      <c r="G11" s="41">
        <v>9.4628203134212059E-3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80" t="s">
        <v>258</v>
      </c>
      <c r="C13" s="81"/>
      <c r="D13" s="81"/>
      <c r="E13" s="81"/>
      <c r="F13" s="81"/>
      <c r="G13" s="81"/>
      <c r="H13" s="82"/>
      <c r="I13" s="1"/>
    </row>
    <row r="14" spans="1:9" ht="14.25" customHeight="1" x14ac:dyDescent="0.25">
      <c r="A14" s="18"/>
      <c r="B14" s="103"/>
      <c r="C14" s="103"/>
      <c r="D14" s="103"/>
      <c r="E14" s="103"/>
      <c r="F14" s="103"/>
      <c r="G14" s="103"/>
      <c r="H14" s="103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2020-10-21T08:27:57Z</dcterms:modified>
</cp:coreProperties>
</file>