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FV Spildevand AS (S02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20" i="32" l="1"/>
  <c r="E12" i="32"/>
  <c r="E38" i="32" l="1"/>
  <c r="E32" i="32"/>
  <c r="C30" i="2" s="1"/>
  <c r="E16" i="27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<sst xmlns="http://schemas.openxmlformats.org/spreadsheetml/2006/main" count="684" uniqueCount="275">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</sst>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226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43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17</v>
      </c>
      <c r="D14" s="67" t="s">
        <v>254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41</v>
      </c>
      <c r="D15" s="67" t="s">
        <v>107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42</v>
      </c>
      <c r="D16" s="67" t="s">
        <v>214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180</v>
      </c>
      <c r="D17" s="67" t="s">
        <v>215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157</v>
      </c>
      <c r="D18" s="64" t="s">
        <v>135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158</v>
      </c>
      <c r="D19" s="64" t="s">
        <v>136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159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111</v>
      </c>
      <c r="D22" s="58" t="s">
        <v>255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184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44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160</v>
      </c>
      <c r="D25" s="58" t="s">
        <v>112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161</v>
      </c>
      <c r="D26" s="58" t="s">
        <v>113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162</v>
      </c>
      <c r="D27" s="58" t="s">
        <v>114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16</v>
      </c>
      <c r="D28" s="58" t="s">
        <v>216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46</v>
      </c>
      <c r="D29" s="58" t="s">
        <v>45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47</v>
      </c>
      <c r="D30" s="61" t="s">
        <v>155</v>
      </c>
      <c r="E30" s="62"/>
      <c r="F30" s="62"/>
      <c r="G30" s="6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1nogBtoOtCuJHuK8Ro42a/270ZE6FNbnehgzuUg6UXXmbpq7D5UqpmXjO38pQesIdIz32dtk1F8r6sJuMn7jg==" saltValue="fhbJvrDUuLZe3nHhn+quM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165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0" t="s">
        <v>196</v>
      </c>
      <c r="C8" s="91"/>
      <c r="D8" s="92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1746838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82235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190818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12009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2031900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2081780.7879960001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0" t="s">
        <v>178</v>
      </c>
      <c r="C18" s="91"/>
      <c r="D18" s="92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0"/>
      <c r="C23" s="91"/>
      <c r="D23" s="92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0" t="s">
        <v>146</v>
      </c>
      <c r="C26" s="91"/>
      <c r="D26" s="92"/>
      <c r="E26" s="1"/>
      <c r="F26" s="1"/>
    </row>
    <row r="27" spans="1:6" x14ac:dyDescent="0.25">
      <c r="A27" s="1"/>
      <c r="B27" s="54" t="s">
        <v>147</v>
      </c>
      <c r="C27" s="9">
        <v>1843729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0"/>
      <c r="C31" s="91"/>
      <c r="D31" s="92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pQcBswSMEohVj5frgaOjX7JIBxQCW3vO1bG0CiABgVkdmvYTRNHa2Cf6r4asP+mGyiPGUMSOpbEGc0PxuIk0CA==" saltValue="vi19WMZ41j8DGsf76qoAN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256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137</v>
      </c>
      <c r="C8" s="91"/>
      <c r="D8" s="91"/>
      <c r="E8" s="91"/>
      <c r="F8" s="92"/>
      <c r="G8" s="1"/>
    </row>
    <row r="9" spans="1:7" x14ac:dyDescent="0.25">
      <c r="A9" s="1"/>
      <c r="B9" s="93" t="s">
        <v>138</v>
      </c>
      <c r="C9" s="94"/>
      <c r="D9" s="95"/>
      <c r="E9" s="9">
        <v>120497911.94523001</v>
      </c>
      <c r="F9" s="14" t="s">
        <v>3</v>
      </c>
      <c r="G9" s="1"/>
    </row>
    <row r="10" spans="1:7" x14ac:dyDescent="0.25">
      <c r="A10" s="1"/>
      <c r="B10" s="93" t="s">
        <v>139</v>
      </c>
      <c r="C10" s="94"/>
      <c r="D10" s="95"/>
      <c r="E10" s="9">
        <v>104942039</v>
      </c>
      <c r="F10" s="14" t="s">
        <v>3</v>
      </c>
      <c r="G10" s="1"/>
    </row>
    <row r="11" spans="1:7" x14ac:dyDescent="0.25">
      <c r="A11" s="1"/>
      <c r="B11" s="93" t="s">
        <v>40</v>
      </c>
      <c r="C11" s="94"/>
      <c r="D11" s="95"/>
      <c r="E11" s="9">
        <v>0</v>
      </c>
      <c r="F11" s="14" t="s">
        <v>3</v>
      </c>
      <c r="G11" s="1"/>
    </row>
    <row r="12" spans="1:7" x14ac:dyDescent="0.25">
      <c r="A12" s="1"/>
      <c r="B12" s="83" t="s">
        <v>140</v>
      </c>
      <c r="C12" s="84"/>
      <c r="D12" s="102"/>
      <c r="E12" s="10">
        <f>E9-(E10-E11)</f>
        <v>15555872.945230007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8" t="s">
        <v>156</v>
      </c>
      <c r="C14" s="79"/>
      <c r="D14" s="79"/>
      <c r="E14" s="79"/>
      <c r="F14" s="80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52</v>
      </c>
      <c r="C16" s="91"/>
      <c r="D16" s="91"/>
      <c r="E16" s="91"/>
      <c r="F16" s="92"/>
      <c r="G16" s="1"/>
    </row>
    <row r="17" spans="1:7" x14ac:dyDescent="0.25">
      <c r="A17" s="1"/>
      <c r="B17" s="93" t="s">
        <v>53</v>
      </c>
      <c r="C17" s="94"/>
      <c r="D17" s="95"/>
      <c r="E17" s="9">
        <v>121865347.59921464</v>
      </c>
      <c r="F17" s="14" t="s">
        <v>3</v>
      </c>
      <c r="G17" s="1"/>
    </row>
    <row r="18" spans="1:7" x14ac:dyDescent="0.25">
      <c r="A18" s="1"/>
      <c r="B18" s="93" t="s">
        <v>54</v>
      </c>
      <c r="C18" s="94"/>
      <c r="D18" s="95"/>
      <c r="E18" s="9">
        <v>105930317</v>
      </c>
      <c r="F18" s="14" t="s">
        <v>3</v>
      </c>
      <c r="G18" s="1"/>
    </row>
    <row r="19" spans="1:7" x14ac:dyDescent="0.25">
      <c r="A19" s="1"/>
      <c r="B19" s="93" t="s">
        <v>40</v>
      </c>
      <c r="C19" s="94"/>
      <c r="D19" s="95"/>
      <c r="E19" s="9">
        <v>0</v>
      </c>
      <c r="F19" s="14" t="s">
        <v>3</v>
      </c>
      <c r="G19" s="1"/>
    </row>
    <row r="20" spans="1:7" x14ac:dyDescent="0.25">
      <c r="A20" s="1"/>
      <c r="B20" s="83" t="s">
        <v>55</v>
      </c>
      <c r="C20" s="84"/>
      <c r="D20" s="102"/>
      <c r="E20" s="10">
        <f>E17-(E18-E19)</f>
        <v>15935030.599214643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8" t="s">
        <v>218</v>
      </c>
      <c r="C22" s="79"/>
      <c r="D22" s="79"/>
      <c r="E22" s="79"/>
      <c r="F22" s="80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245</v>
      </c>
      <c r="C24" s="91"/>
      <c r="D24" s="91"/>
      <c r="E24" s="91"/>
      <c r="F24" s="92"/>
      <c r="G24" s="1"/>
    </row>
    <row r="25" spans="1:7" x14ac:dyDescent="0.25">
      <c r="A25" s="1"/>
      <c r="B25" s="93" t="s">
        <v>246</v>
      </c>
      <c r="C25" s="94"/>
      <c r="D25" s="95"/>
      <c r="E25" s="9">
        <v>109072334.59279095</v>
      </c>
      <c r="F25" s="14" t="s">
        <v>3</v>
      </c>
      <c r="G25" s="1"/>
    </row>
    <row r="26" spans="1:7" x14ac:dyDescent="0.25">
      <c r="A26" s="1"/>
      <c r="B26" s="93" t="s">
        <v>247</v>
      </c>
      <c r="C26" s="94"/>
      <c r="D26" s="95"/>
      <c r="E26" s="9">
        <v>109432669</v>
      </c>
      <c r="F26" s="14" t="s">
        <v>3</v>
      </c>
      <c r="G26" s="1"/>
    </row>
    <row r="27" spans="1:7" x14ac:dyDescent="0.25">
      <c r="A27" s="1"/>
      <c r="B27" s="93" t="s">
        <v>40</v>
      </c>
      <c r="C27" s="94"/>
      <c r="D27" s="95"/>
      <c r="E27" s="9">
        <v>25000</v>
      </c>
      <c r="F27" s="14" t="s">
        <v>3</v>
      </c>
      <c r="G27" s="1"/>
    </row>
    <row r="28" spans="1:7" x14ac:dyDescent="0.25">
      <c r="A28" s="1"/>
      <c r="B28" s="83" t="s">
        <v>248</v>
      </c>
      <c r="C28" s="84"/>
      <c r="D28" s="102"/>
      <c r="E28" s="10">
        <f>E25-(E26-E27)</f>
        <v>-335334.40720905364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0" t="s">
        <v>250</v>
      </c>
      <c r="C31" s="91"/>
      <c r="D31" s="91"/>
      <c r="E31" s="91"/>
      <c r="F31" s="92"/>
      <c r="G31" s="1"/>
    </row>
    <row r="32" spans="1:7" x14ac:dyDescent="0.25">
      <c r="A32" s="1"/>
      <c r="B32" s="83" t="s">
        <v>251</v>
      </c>
      <c r="C32" s="84"/>
      <c r="D32" s="102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0"/>
      <c r="C33" s="91"/>
      <c r="D33" s="91"/>
      <c r="E33" s="91"/>
      <c r="F33" s="92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0" t="s">
        <v>249</v>
      </c>
      <c r="C35" s="91"/>
      <c r="D35" s="91"/>
      <c r="E35" s="91"/>
      <c r="F35" s="92"/>
      <c r="G35" s="1"/>
    </row>
    <row r="36" spans="1:7" x14ac:dyDescent="0.25">
      <c r="A36" s="1"/>
      <c r="B36" s="103" t="s">
        <v>273</v>
      </c>
      <c r="C36" s="104"/>
      <c r="D36" s="105"/>
      <c r="E36" s="9">
        <v>0</v>
      </c>
      <c r="F36" s="14"/>
      <c r="G36" s="1"/>
    </row>
    <row r="37" spans="1:7" x14ac:dyDescent="0.25">
      <c r="A37" s="1"/>
      <c r="B37" s="103" t="s">
        <v>274</v>
      </c>
      <c r="C37" s="104"/>
      <c r="D37" s="105"/>
      <c r="E37" s="9">
        <v>0</v>
      </c>
      <c r="F37" s="14"/>
      <c r="G37" s="1"/>
    </row>
    <row r="38" spans="1:7" x14ac:dyDescent="0.25">
      <c r="A38" s="1"/>
      <c r="B38" s="103" t="s">
        <v>252</v>
      </c>
      <c r="C38" s="104"/>
      <c r="D38" s="105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3" t="s">
        <v>152</v>
      </c>
      <c r="C39" s="104"/>
      <c r="D39" s="105"/>
      <c r="E39" s="9">
        <v>2</v>
      </c>
      <c r="F39" s="14" t="s">
        <v>21</v>
      </c>
      <c r="G39" s="1"/>
    </row>
    <row r="40" spans="1:7" x14ac:dyDescent="0.25">
      <c r="A40" s="1"/>
      <c r="B40" s="109" t="s">
        <v>253</v>
      </c>
      <c r="C40" s="109"/>
      <c r="D40" s="109"/>
      <c r="E40" s="10">
        <f>E38/E39</f>
        <v>0</v>
      </c>
      <c r="F40" s="17" t="s">
        <v>3</v>
      </c>
      <c r="G40" s="1"/>
    </row>
    <row r="41" spans="1:7" x14ac:dyDescent="0.25">
      <c r="A41" s="1"/>
      <c r="B41" s="106"/>
      <c r="C41" s="107"/>
      <c r="D41" s="107"/>
      <c r="E41" s="107"/>
      <c r="F41" s="108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3Y0btuBoK4z/DUi8m12Ov3Mx0GMR5BPbrI1xzp2IbfO7WltLKHh8OoqcRkXEZO93NKk3vTBNsD1ZIY4onNLvGA==" saltValue="GOxtcfeClenhPfwJt5E8yQ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201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0" t="s">
        <v>202</v>
      </c>
      <c r="C9" s="91"/>
      <c r="D9" s="91"/>
      <c r="E9" s="91"/>
      <c r="F9" s="92"/>
      <c r="G9" s="1"/>
    </row>
    <row r="10" spans="1:7" x14ac:dyDescent="0.25">
      <c r="A10" s="1"/>
      <c r="B10" s="78" t="s">
        <v>150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93" t="s">
        <v>203</v>
      </c>
      <c r="C11" s="94"/>
      <c r="D11" s="95"/>
      <c r="E11" s="7">
        <v>0</v>
      </c>
      <c r="F11" s="8" t="s">
        <v>3</v>
      </c>
      <c r="G11" s="1"/>
    </row>
    <row r="12" spans="1:7" x14ac:dyDescent="0.25">
      <c r="A12" s="1"/>
      <c r="B12" s="83" t="s">
        <v>151</v>
      </c>
      <c r="C12" s="84"/>
      <c r="D12" s="102"/>
      <c r="E12" s="10">
        <f>E11-E10</f>
        <v>0</v>
      </c>
      <c r="F12" s="11" t="s">
        <v>3</v>
      </c>
      <c r="G12" s="1"/>
    </row>
    <row r="13" spans="1:7" x14ac:dyDescent="0.25">
      <c r="A13" s="1"/>
      <c r="B13" s="90" t="s">
        <v>134</v>
      </c>
      <c r="C13" s="91"/>
      <c r="D13" s="91"/>
      <c r="E13" s="91"/>
      <c r="F13" s="92"/>
      <c r="G13" s="1"/>
    </row>
    <row r="14" spans="1:7" x14ac:dyDescent="0.25">
      <c r="A14" s="1"/>
      <c r="B14" s="93" t="s">
        <v>204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78" t="s">
        <v>205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83" t="s">
        <v>151</v>
      </c>
      <c r="C16" s="84"/>
      <c r="D16" s="10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c+BOopsJL0M3Gs6G1bom3zL38zDdFJGogIiKFd6NKT5nIWYIZJfKr6hJPWfTwr9umG1KyEMELsKkzWo2pjfGw==" saltValue="MWCNBkomS6HLre46GROkt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236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237</v>
      </c>
      <c r="C8" s="91"/>
      <c r="D8" s="91"/>
      <c r="E8" s="91"/>
      <c r="F8" s="91"/>
      <c r="G8" s="91"/>
      <c r="H8" s="9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57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0" t="s">
        <v>238</v>
      </c>
      <c r="C11" s="91"/>
      <c r="D11" s="9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YdfhF5OOEiFOE/603Itbm4l7KsyPq0izWsw7N29lPAeYL0KuQrD9rJZjMgKCb2bc/SuuQ7CEjGbeSorgC2fSQ==" saltValue="1g09oYJRS2OJPKsqG9rkI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168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EcFNbXwwnCl2V5MoONYmvYaA7GyEDIqtMpDzoaLWz6gEAgJ1Uu0a7Yoe+NuQoJFhwKX2Vw8gjDG1WnOJwZhTg==" saltValue="L5L9ybro8yXw94VdR2kS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141</v>
      </c>
      <c r="C8" s="91"/>
      <c r="D8" s="91"/>
      <c r="E8" s="91"/>
      <c r="F8" s="92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142</v>
      </c>
      <c r="C16" s="91"/>
      <c r="D16" s="91"/>
      <c r="E16" s="91"/>
      <c r="F16" s="92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143</v>
      </c>
      <c r="C24" s="91"/>
      <c r="D24" s="91"/>
      <c r="E24" s="91"/>
      <c r="F24" s="92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0" t="s">
        <v>223</v>
      </c>
      <c r="C32" s="91"/>
      <c r="D32" s="91"/>
      <c r="E32" s="91"/>
      <c r="F32" s="92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cjIVnybmdYhFDAftuT9rsVzUmWGiC3DRKctTJNqIWWLG4Irr2WNHUxzTeDMFmfeX17XxdZdKt4mwcHXvQYeWQ==" saltValue="p/BH0y7QdBvghkD1zYZde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169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125</v>
      </c>
      <c r="C8" s="91"/>
      <c r="D8" s="91"/>
      <c r="E8" s="91"/>
      <c r="F8" s="92"/>
      <c r="G8" s="1"/>
    </row>
    <row r="9" spans="1:7" x14ac:dyDescent="0.25">
      <c r="A9" s="1"/>
      <c r="B9" s="110" t="s">
        <v>207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8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8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0" t="s">
        <v>128</v>
      </c>
      <c r="C12" s="91"/>
      <c r="D12" s="92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126</v>
      </c>
      <c r="C14" s="91"/>
      <c r="D14" s="91"/>
      <c r="E14" s="91"/>
      <c r="F14" s="92"/>
      <c r="G14" s="1"/>
    </row>
    <row r="15" spans="1:7" x14ac:dyDescent="0.25">
      <c r="A15" s="1"/>
      <c r="B15" s="110" t="s">
        <v>207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8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8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0" t="s">
        <v>129</v>
      </c>
      <c r="C18" s="91"/>
      <c r="D18" s="92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127</v>
      </c>
      <c r="C20" s="91"/>
      <c r="D20" s="91"/>
      <c r="E20" s="91"/>
      <c r="F20" s="92"/>
      <c r="G20" s="1"/>
    </row>
    <row r="21" spans="1:7" x14ac:dyDescent="0.25">
      <c r="A21" s="1"/>
      <c r="B21" s="110" t="s">
        <v>207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8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8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0" t="s">
        <v>130</v>
      </c>
      <c r="C24" s="91"/>
      <c r="D24" s="92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208</v>
      </c>
      <c r="C26" s="91"/>
      <c r="D26" s="91"/>
      <c r="E26" s="91"/>
      <c r="F26" s="92"/>
      <c r="G26" s="1"/>
    </row>
    <row r="27" spans="1:7" x14ac:dyDescent="0.25">
      <c r="A27" s="1"/>
      <c r="B27" s="110" t="s">
        <v>207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8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8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0" t="s">
        <v>209</v>
      </c>
      <c r="C30" s="91"/>
      <c r="D30" s="92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1BNAHeqTD9qZlXyOdN8Q9Q1yWhkxrruBR0Hs3rUAIx8/gNrNRfn7MjjoG2bFqzs1BHRSkM78j+LHBMmxRu7UQ==" saltValue="QZGkaHbzkWvm5/0QfwKwA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210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211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FxDh5USfhv1qo5q4Nlo2rowqn91OFbtf6v4vZ4vMB0mZKv/vYzRgftCsrvdo4551A7iqllD3YdP7WzkvKdKrg==" saltValue="1wddOIMym6/ibt7f6Wzjr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166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132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131</v>
      </c>
      <c r="C14" s="91"/>
      <c r="D14" s="91"/>
      <c r="E14" s="91"/>
      <c r="F14" s="92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133</v>
      </c>
      <c r="C20" s="91"/>
      <c r="D20" s="91"/>
      <c r="E20" s="91"/>
      <c r="F20" s="92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227</v>
      </c>
      <c r="C26" s="91"/>
      <c r="D26" s="91"/>
      <c r="E26" s="91"/>
      <c r="F26" s="92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elu2rAJZPYVkBhXpcvfOOrCLh1q8u7HgIxs6M/kuGcLKB74Cg7WHnCaJNJsLVOwB53U133ZNVmh5+h82Y/okA==" saltValue="3oTBNlzpV2bIHdvIFTISM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7" t="s">
        <v>257</v>
      </c>
      <c r="C3" s="87"/>
      <c r="D3" s="1"/>
    </row>
    <row r="4" spans="1:4" ht="25.5" customHeight="1" x14ac:dyDescent="0.25">
      <c r="A4" s="1"/>
      <c r="B4" s="87"/>
      <c r="C4" s="8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IOmSlhupB0FLUCo134HoYXLXgZfram86jsCkuxa/h9mzZg2sY1m8d1ZChyV160VzIHEKBwwp8mIimmAQEgwdvA==" saltValue="Thuqz0pP/Nz6PkvQ75i+3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104560658.5711602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2059844.9738518558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-741936.43782545975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-1995935.7141543375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103882631.39303227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3925509.7879960001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107808141.18102826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tX8+NT6foZBZ/MohyaveyV62Yx9lPwa19OK1C6wCpk9l2nG07DChfQXf2bYITy8grT71VaA0rb63K+Z56R+Xw==" saltValue="FM529rFwgbRJwofLS5nm0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188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103882631.39303227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1267368.1029949938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-735968.30111959181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-1900705.1092928492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102513326.08561482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2107178.5136095514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104620504.59922437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Yz7zK9QgggumSIiYiOdispPnvMznG8DO3A6MCbQuLskZ5mE7/4ydrs9EXZB7lUCRQhzp20kpbkTC9ebc5G9/Q==" saltValue="SKMJbnr+mLbm5tWupTLm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189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102513326.08561482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1250662.5782445008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-730048.17210538581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-1870986.6345565009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101162953.85719743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2132886.0914755878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103295839.94867302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QFSkBYq3vmP+f9OQGrH01q3KZjHI8GyMotwUAXBW+KAzOURDtaE10nh4VwqDGuQheR8CnHZK/EfnomWtMG/Wg==" saltValue="GE+5aPWCSSZMAXAoIzek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191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101162953.85719743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1234188.0370578088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-724175.66460897005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-1841732.8230318928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99831233.406614378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2158907.3017915902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101990140.70840597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P1kmBic8XvU2IJuKiHxREuq2pb5sD5+5eQ7FipuSpld9QmG3yqYDpT23kAbjaPo2ZWECRtyU3r567a0M2SRRw==" saltValue="bA8ai+wsbrFlTTe56Axb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194</v>
      </c>
      <c r="C3" s="87"/>
      <c r="D3" s="87"/>
      <c r="E3" s="87"/>
      <c r="F3" s="87"/>
      <c r="G3" s="1"/>
    </row>
    <row r="4" spans="1:7" ht="29.2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8" t="s">
        <v>25</v>
      </c>
      <c r="C9" s="79"/>
      <c r="D9" s="80"/>
      <c r="E9" s="7">
        <v>105200936.22415192</v>
      </c>
      <c r="F9" s="8" t="s">
        <v>3</v>
      </c>
      <c r="G9" s="1"/>
    </row>
    <row r="10" spans="1:7" ht="15" customHeight="1" x14ac:dyDescent="0.25">
      <c r="A10" s="1"/>
      <c r="B10" s="81" t="s">
        <v>48</v>
      </c>
      <c r="C10" s="82"/>
      <c r="D10" s="88"/>
      <c r="E10" s="7">
        <v>0</v>
      </c>
      <c r="F10" s="8" t="s">
        <v>3</v>
      </c>
      <c r="G10" s="1"/>
    </row>
    <row r="11" spans="1:7" ht="15" customHeight="1" x14ac:dyDescent="0.25">
      <c r="A11" s="1"/>
      <c r="B11" s="81" t="s">
        <v>49</v>
      </c>
      <c r="C11" s="82"/>
      <c r="D11" s="88"/>
      <c r="E11" s="9">
        <v>43449.417000000001</v>
      </c>
      <c r="F11" s="8" t="s">
        <v>3</v>
      </c>
      <c r="G11" s="1"/>
    </row>
    <row r="12" spans="1:7" ht="15" customHeight="1" x14ac:dyDescent="0.25">
      <c r="A12" s="1"/>
      <c r="B12" s="81" t="s">
        <v>32</v>
      </c>
      <c r="C12" s="82"/>
      <c r="D12" s="88"/>
      <c r="E12" s="9">
        <v>0</v>
      </c>
      <c r="F12" s="8" t="s">
        <v>3</v>
      </c>
      <c r="G12" s="1"/>
    </row>
    <row r="13" spans="1:7" ht="15" customHeight="1" x14ac:dyDescent="0.25">
      <c r="A13" s="1"/>
      <c r="B13" s="78" t="s">
        <v>31</v>
      </c>
      <c r="C13" s="79"/>
      <c r="D13" s="80"/>
      <c r="E13" s="9">
        <v>0</v>
      </c>
      <c r="F13" s="8" t="s">
        <v>3</v>
      </c>
      <c r="G13" s="1"/>
    </row>
    <row r="14" spans="1:7" ht="15" customHeight="1" x14ac:dyDescent="0.25">
      <c r="A14" s="1"/>
      <c r="B14" s="78" t="s">
        <v>34</v>
      </c>
      <c r="C14" s="79"/>
      <c r="D14" s="80"/>
      <c r="E14" s="9">
        <v>0</v>
      </c>
      <c r="F14" s="8" t="s">
        <v>3</v>
      </c>
      <c r="G14" s="1"/>
    </row>
    <row r="15" spans="1:7" ht="15" customHeight="1" x14ac:dyDescent="0.25">
      <c r="A15" s="1"/>
      <c r="B15" s="78" t="s">
        <v>33</v>
      </c>
      <c r="C15" s="79"/>
      <c r="D15" s="80"/>
      <c r="E15" s="9">
        <v>0</v>
      </c>
      <c r="F15" s="8" t="s">
        <v>3</v>
      </c>
      <c r="G15" s="1"/>
    </row>
    <row r="16" spans="1:7" ht="15" customHeight="1" x14ac:dyDescent="0.25">
      <c r="A16" s="1"/>
      <c r="B16" s="78" t="s">
        <v>20</v>
      </c>
      <c r="C16" s="79"/>
      <c r="D16" s="80"/>
      <c r="E16" s="9">
        <f>SUM(E9:E15)*'Fane 14. Nøgletal'!C12</f>
        <v>2073314.3971306926</v>
      </c>
      <c r="F16" s="8" t="s">
        <v>3</v>
      </c>
      <c r="G16" s="1"/>
    </row>
    <row r="17" spans="1:7" ht="15" customHeight="1" x14ac:dyDescent="0.25">
      <c r="A17" s="1"/>
      <c r="B17" s="78" t="s">
        <v>10</v>
      </c>
      <c r="C17" s="79"/>
      <c r="D17" s="80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8" t="s">
        <v>29</v>
      </c>
      <c r="C18" s="79"/>
      <c r="D18" s="80"/>
      <c r="E18" s="9">
        <f>-'Fane 4.1. Gen. krav - drift'!G28</f>
        <v>-742451.69930477708</v>
      </c>
      <c r="F18" s="8" t="s">
        <v>3</v>
      </c>
      <c r="G18" s="1"/>
    </row>
    <row r="19" spans="1:7" ht="15" customHeight="1" x14ac:dyDescent="0.25">
      <c r="A19" s="1"/>
      <c r="B19" s="78" t="s">
        <v>30</v>
      </c>
      <c r="C19" s="79"/>
      <c r="D19" s="80"/>
      <c r="E19" s="9">
        <f>-'Fane 4.2. Gen. krav - anlæg'!G25</f>
        <v>-2014589.7678176495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104560658.5711602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5" t="s">
        <v>13</v>
      </c>
      <c r="C22" s="86"/>
      <c r="D22" s="89"/>
      <c r="E22" s="10">
        <v>4156262.4230478699</v>
      </c>
      <c r="F22" s="11" t="s">
        <v>3</v>
      </c>
      <c r="G22" s="1"/>
    </row>
    <row r="23" spans="1:7" ht="15" customHeight="1" x14ac:dyDescent="0.25">
      <c r="A23" s="1"/>
      <c r="B23" s="90" t="s">
        <v>114</v>
      </c>
      <c r="C23" s="91"/>
      <c r="D23" s="92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1" t="s">
        <v>109</v>
      </c>
      <c r="C26" s="82"/>
      <c r="D26" s="88"/>
      <c r="E26" s="9">
        <v>0</v>
      </c>
      <c r="F26" s="8" t="s">
        <v>3</v>
      </c>
      <c r="G26" s="1"/>
    </row>
    <row r="27" spans="1:7" ht="15" customHeight="1" x14ac:dyDescent="0.25">
      <c r="A27" s="1"/>
      <c r="B27" s="81" t="s">
        <v>110</v>
      </c>
      <c r="C27" s="82"/>
      <c r="D27" s="82"/>
      <c r="E27" s="9">
        <v>0</v>
      </c>
      <c r="F27" s="8" t="s">
        <v>3</v>
      </c>
      <c r="G27" s="1"/>
    </row>
    <row r="28" spans="1:7" ht="15" customHeight="1" x14ac:dyDescent="0.25">
      <c r="A28" s="1"/>
      <c r="B28" s="83" t="s">
        <v>115</v>
      </c>
      <c r="C28" s="84"/>
      <c r="D28" s="84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5" t="s">
        <v>260</v>
      </c>
      <c r="C30" s="86"/>
      <c r="D30" s="86"/>
      <c r="E30" s="46">
        <v>659108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5" t="s">
        <v>262</v>
      </c>
      <c r="C32" s="86"/>
      <c r="D32" s="86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5" t="s">
        <v>264</v>
      </c>
      <c r="C34" s="86"/>
      <c r="D34" s="89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109376028.99420807</v>
      </c>
      <c r="F35" s="13" t="s">
        <v>3</v>
      </c>
      <c r="G35" s="1"/>
    </row>
    <row r="36" spans="1:7" ht="27" customHeight="1" x14ac:dyDescent="0.25">
      <c r="A36" s="1"/>
      <c r="B36" s="78" t="s">
        <v>218</v>
      </c>
      <c r="C36" s="79"/>
      <c r="D36" s="79"/>
      <c r="E36" s="79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zXZF6i+OOZWEhbjP+u0bYLdXotoaRiPe4+9Vc7uTcaFXMadLH59nFcDFp6q985M+F2649Qwc8W5z4MilN2VMgw==" saltValue="FnxW9RsYeQAQs28L0N7XT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7" t="s">
        <v>163</v>
      </c>
      <c r="C2" s="87"/>
      <c r="D2" s="87"/>
      <c r="E2" s="87"/>
      <c r="F2" s="87"/>
      <c r="G2" s="87"/>
      <c r="H2" s="87"/>
      <c r="I2" s="1"/>
    </row>
    <row r="3" spans="1:9" ht="28.5" customHeight="1" x14ac:dyDescent="0.25">
      <c r="A3" s="1"/>
      <c r="B3" s="87"/>
      <c r="C3" s="87"/>
      <c r="D3" s="87"/>
      <c r="E3" s="87"/>
      <c r="F3" s="87"/>
      <c r="G3" s="87"/>
      <c r="H3" s="87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0" t="s">
        <v>67</v>
      </c>
      <c r="C5" s="91"/>
      <c r="D5" s="91"/>
      <c r="E5" s="91"/>
      <c r="F5" s="91"/>
      <c r="G5" s="91"/>
      <c r="H5" s="92"/>
      <c r="I5" s="1"/>
    </row>
    <row r="6" spans="1:9" x14ac:dyDescent="0.25">
      <c r="A6" s="1"/>
      <c r="B6" s="93" t="s">
        <v>56</v>
      </c>
      <c r="C6" s="94"/>
      <c r="D6" s="94"/>
      <c r="E6" s="94"/>
      <c r="F6" s="95"/>
      <c r="G6" s="24">
        <v>37361020</v>
      </c>
      <c r="H6" s="14" t="s">
        <v>3</v>
      </c>
      <c r="I6" s="1"/>
    </row>
    <row r="7" spans="1:9" x14ac:dyDescent="0.25">
      <c r="A7" s="1"/>
      <c r="B7" s="78" t="s">
        <v>181</v>
      </c>
      <c r="C7" s="79"/>
      <c r="D7" s="79"/>
      <c r="E7" s="79"/>
      <c r="F7" s="80"/>
      <c r="G7" s="24">
        <v>0</v>
      </c>
      <c r="H7" s="14" t="s">
        <v>3</v>
      </c>
      <c r="I7" s="1"/>
    </row>
    <row r="8" spans="1:9" x14ac:dyDescent="0.25">
      <c r="A8" s="1"/>
      <c r="B8" s="93" t="s">
        <v>57</v>
      </c>
      <c r="C8" s="94"/>
      <c r="D8" s="94"/>
      <c r="E8" s="94"/>
      <c r="F8" s="95"/>
      <c r="G8" s="24">
        <f>SUM(G6:G7)*'Fane 14. Nøgletal'!C27</f>
        <v>747220.4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0" t="s">
        <v>68</v>
      </c>
      <c r="C11" s="91"/>
      <c r="D11" s="91"/>
      <c r="E11" s="91"/>
      <c r="F11" s="91"/>
      <c r="G11" s="91"/>
      <c r="H11" s="92"/>
      <c r="I11" s="1"/>
    </row>
    <row r="12" spans="1:9" x14ac:dyDescent="0.25">
      <c r="A12" s="1"/>
      <c r="B12" s="93" t="s">
        <v>58</v>
      </c>
      <c r="C12" s="94"/>
      <c r="D12" s="94"/>
      <c r="E12" s="94"/>
      <c r="F12" s="95"/>
      <c r="G12" s="24">
        <f>(G6-G8)*(1+'Fane 14. Nøgletal'!C10)</f>
        <v>37254541.093000002</v>
      </c>
      <c r="H12" s="14" t="s">
        <v>3</v>
      </c>
      <c r="I12" s="1"/>
    </row>
    <row r="13" spans="1:9" ht="15" customHeight="1" x14ac:dyDescent="0.25">
      <c r="A13" s="1"/>
      <c r="B13" s="93" t="s">
        <v>182</v>
      </c>
      <c r="C13" s="94"/>
      <c r="D13" s="94"/>
      <c r="E13" s="94"/>
      <c r="F13" s="95"/>
      <c r="G13" s="24">
        <v>0.28111131502315406</v>
      </c>
      <c r="H13" s="14" t="s">
        <v>3</v>
      </c>
      <c r="I13" s="1"/>
    </row>
    <row r="14" spans="1:9" x14ac:dyDescent="0.25">
      <c r="A14" s="1"/>
      <c r="B14" s="78" t="s">
        <v>179</v>
      </c>
      <c r="C14" s="79"/>
      <c r="D14" s="79"/>
      <c r="E14" s="79"/>
      <c r="F14" s="80"/>
      <c r="G14" s="24">
        <v>0</v>
      </c>
      <c r="H14" s="14" t="s">
        <v>3</v>
      </c>
      <c r="I14" s="1"/>
    </row>
    <row r="15" spans="1:9" x14ac:dyDescent="0.25">
      <c r="A15" s="1"/>
      <c r="B15" s="96" t="s">
        <v>59</v>
      </c>
      <c r="C15" s="97"/>
      <c r="D15" s="97"/>
      <c r="E15" s="97"/>
      <c r="F15" s="98"/>
      <c r="G15" s="24">
        <v>0</v>
      </c>
      <c r="H15" s="14" t="s">
        <v>3</v>
      </c>
      <c r="I15" s="1"/>
    </row>
    <row r="16" spans="1:9" x14ac:dyDescent="0.25">
      <c r="A16" s="1"/>
      <c r="B16" s="93" t="s">
        <v>60</v>
      </c>
      <c r="C16" s="94"/>
      <c r="D16" s="94"/>
      <c r="E16" s="94"/>
      <c r="F16" s="95"/>
      <c r="G16" s="24">
        <f>SUM(G12:G15)*'Fane 14. Nøgletal'!C27</f>
        <v>745090.8274822263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0" t="s">
        <v>69</v>
      </c>
      <c r="C19" s="91"/>
      <c r="D19" s="91"/>
      <c r="E19" s="91"/>
      <c r="F19" s="91"/>
      <c r="G19" s="91"/>
      <c r="H19" s="92"/>
      <c r="I19" s="1"/>
    </row>
    <row r="20" spans="1:9" x14ac:dyDescent="0.25">
      <c r="A20" s="1"/>
      <c r="B20" s="93" t="s">
        <v>61</v>
      </c>
      <c r="C20" s="94"/>
      <c r="D20" s="94"/>
      <c r="E20" s="94"/>
      <c r="F20" s="95"/>
      <c r="G20" s="24">
        <f>(SUM(G12:G13,G15)-(G16))*(1+'Fane 14. Nøgletal'!C10)</f>
        <v>37148365.931195103</v>
      </c>
      <c r="H20" s="14" t="s">
        <v>3</v>
      </c>
      <c r="I20" s="1"/>
    </row>
    <row r="21" spans="1:9" x14ac:dyDescent="0.25">
      <c r="A21" s="1"/>
      <c r="B21" s="96" t="s">
        <v>62</v>
      </c>
      <c r="C21" s="97"/>
      <c r="D21" s="97"/>
      <c r="E21" s="97"/>
      <c r="F21" s="98"/>
      <c r="G21" s="24">
        <v>0</v>
      </c>
      <c r="H21" s="14" t="s">
        <v>3</v>
      </c>
      <c r="I21" s="1"/>
    </row>
    <row r="22" spans="1:9" x14ac:dyDescent="0.25">
      <c r="A22" s="1"/>
      <c r="B22" s="93" t="s">
        <v>63</v>
      </c>
      <c r="C22" s="94"/>
      <c r="D22" s="94"/>
      <c r="E22" s="94"/>
      <c r="F22" s="95"/>
      <c r="G22" s="24">
        <f>SUM(G20:G21)*'Fane 14. Nøgletal'!C27</f>
        <v>742967.31862390204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0" t="s">
        <v>70</v>
      </c>
      <c r="C25" s="91"/>
      <c r="D25" s="91"/>
      <c r="E25" s="91"/>
      <c r="F25" s="91"/>
      <c r="G25" s="91"/>
      <c r="H25" s="92"/>
      <c r="I25" s="1"/>
    </row>
    <row r="26" spans="1:9" x14ac:dyDescent="0.25">
      <c r="A26" s="1"/>
      <c r="B26" s="93" t="s">
        <v>64</v>
      </c>
      <c r="C26" s="94"/>
      <c r="D26" s="94"/>
      <c r="E26" s="94"/>
      <c r="F26" s="95"/>
      <c r="G26" s="24">
        <f>(G20+G21-G22)*(1+'Fane 14. Nøgletal'!C12)</f>
        <v>37122584.965238854</v>
      </c>
      <c r="H26" s="14" t="s">
        <v>3</v>
      </c>
      <c r="I26" s="1"/>
    </row>
    <row r="27" spans="1:9" x14ac:dyDescent="0.25">
      <c r="A27" s="1"/>
      <c r="B27" s="96" t="s">
        <v>65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25">
      <c r="A28" s="1"/>
      <c r="B28" s="93" t="s">
        <v>66</v>
      </c>
      <c r="C28" s="94"/>
      <c r="D28" s="94"/>
      <c r="E28" s="94"/>
      <c r="F28" s="95"/>
      <c r="G28" s="24">
        <f>(G26+G27)*'Fane 14. Nøgletal'!C27</f>
        <v>742451.69930477708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0" t="s">
        <v>73</v>
      </c>
      <c r="C31" s="91"/>
      <c r="D31" s="91"/>
      <c r="E31" s="91"/>
      <c r="F31" s="91"/>
      <c r="G31" s="91"/>
      <c r="H31" s="92"/>
      <c r="I31" s="1"/>
    </row>
    <row r="32" spans="1:9" x14ac:dyDescent="0.25">
      <c r="A32" s="1"/>
      <c r="B32" s="93" t="s">
        <v>74</v>
      </c>
      <c r="C32" s="94"/>
      <c r="D32" s="94"/>
      <c r="E32" s="94"/>
      <c r="F32" s="95"/>
      <c r="G32" s="24">
        <f>(G26+G27-G28)*(1+'Fane 14. Nøgletal'!C12)</f>
        <v>37096821.891272984</v>
      </c>
      <c r="H32" s="14" t="s">
        <v>3</v>
      </c>
      <c r="I32" s="1"/>
    </row>
    <row r="33" spans="1:9" x14ac:dyDescent="0.25">
      <c r="A33" s="1"/>
      <c r="B33" s="93" t="s">
        <v>230</v>
      </c>
      <c r="C33" s="94"/>
      <c r="D33" s="94"/>
      <c r="E33" s="94"/>
      <c r="F33" s="95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3" t="s">
        <v>75</v>
      </c>
      <c r="C34" s="94"/>
      <c r="D34" s="94"/>
      <c r="E34" s="94"/>
      <c r="F34" s="95"/>
      <c r="G34" s="24">
        <f>(G32+G33)*'Fane 14. Nøgletal'!C27</f>
        <v>741936.43782545975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0" t="s">
        <v>100</v>
      </c>
      <c r="C37" s="91"/>
      <c r="D37" s="91"/>
      <c r="E37" s="91"/>
      <c r="F37" s="91"/>
      <c r="G37" s="91"/>
      <c r="H37" s="92"/>
      <c r="I37" s="1"/>
    </row>
    <row r="38" spans="1:9" x14ac:dyDescent="0.25">
      <c r="A38" s="1"/>
      <c r="B38" s="93" t="s">
        <v>99</v>
      </c>
      <c r="C38" s="94"/>
      <c r="D38" s="94"/>
      <c r="E38" s="94"/>
      <c r="F38" s="95"/>
      <c r="G38" s="24">
        <f>(G32+G33-G34)*(1+'Fane 14. Nøgletal'!C13)</f>
        <v>36798415.055979587</v>
      </c>
      <c r="H38" s="14" t="s">
        <v>3</v>
      </c>
      <c r="I38" s="1"/>
    </row>
    <row r="39" spans="1:9" x14ac:dyDescent="0.25">
      <c r="A39" s="1"/>
      <c r="B39" s="93" t="s">
        <v>117</v>
      </c>
      <c r="C39" s="94"/>
      <c r="D39" s="94"/>
      <c r="E39" s="94"/>
      <c r="F39" s="95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3" t="s">
        <v>76</v>
      </c>
      <c r="C40" s="94"/>
      <c r="D40" s="94"/>
      <c r="E40" s="94"/>
      <c r="F40" s="95"/>
      <c r="G40" s="24">
        <f>(G38+G39)*'Fane 14. Nøgletal'!C27</f>
        <v>735968.30111959181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0" t="s">
        <v>101</v>
      </c>
      <c r="C43" s="91"/>
      <c r="D43" s="91"/>
      <c r="E43" s="91"/>
      <c r="F43" s="91"/>
      <c r="G43" s="91"/>
      <c r="H43" s="92"/>
      <c r="I43" s="1"/>
    </row>
    <row r="44" spans="1:9" x14ac:dyDescent="0.25">
      <c r="A44" s="1"/>
      <c r="B44" s="93" t="s">
        <v>98</v>
      </c>
      <c r="C44" s="94"/>
      <c r="D44" s="94"/>
      <c r="E44" s="94"/>
      <c r="F44" s="95"/>
      <c r="G44" s="24">
        <f>(G38+G39-G40)*(1+'Fane 14. Nøgletal'!C13)</f>
        <v>36502408.605269291</v>
      </c>
      <c r="H44" s="14" t="s">
        <v>3</v>
      </c>
      <c r="I44" s="1"/>
    </row>
    <row r="45" spans="1:9" x14ac:dyDescent="0.25">
      <c r="A45" s="1"/>
      <c r="B45" s="93" t="s">
        <v>118</v>
      </c>
      <c r="C45" s="94"/>
      <c r="D45" s="94"/>
      <c r="E45" s="94"/>
      <c r="F45" s="95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3" t="s">
        <v>77</v>
      </c>
      <c r="C46" s="94"/>
      <c r="D46" s="94"/>
      <c r="E46" s="94"/>
      <c r="F46" s="95"/>
      <c r="G46" s="24">
        <f>(G44+G45)*'Fane 14. Nøgletal'!C27</f>
        <v>730048.17210538581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0" t="s">
        <v>231</v>
      </c>
      <c r="C51" s="91"/>
      <c r="D51" s="91"/>
      <c r="E51" s="91"/>
      <c r="F51" s="91"/>
      <c r="G51" s="91"/>
      <c r="H51" s="92"/>
      <c r="I51" s="1"/>
    </row>
    <row r="52" spans="1:9" x14ac:dyDescent="0.25">
      <c r="A52" s="1"/>
      <c r="B52" s="93" t="s">
        <v>232</v>
      </c>
      <c r="C52" s="94"/>
      <c r="D52" s="94"/>
      <c r="E52" s="94"/>
      <c r="F52" s="95"/>
      <c r="G52" s="24">
        <f>(G44+G45-G46)*(1+'Fane 14. Nøgletal'!C13)</f>
        <v>36208783.230448499</v>
      </c>
      <c r="H52" s="14" t="s">
        <v>3</v>
      </c>
      <c r="I52" s="1"/>
    </row>
    <row r="53" spans="1:9" x14ac:dyDescent="0.25">
      <c r="A53" s="1"/>
      <c r="B53" s="93" t="s">
        <v>233</v>
      </c>
      <c r="C53" s="94"/>
      <c r="D53" s="94"/>
      <c r="E53" s="94"/>
      <c r="F53" s="95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3" t="s">
        <v>234</v>
      </c>
      <c r="C54" s="94"/>
      <c r="D54" s="94"/>
      <c r="E54" s="94"/>
      <c r="F54" s="95"/>
      <c r="G54" s="24">
        <f>(G52+G53)*'Fane 14. Nøgletal'!C27</f>
        <v>724175.66460897005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fPJopIGnMAAeF3k+RlJJABDt+pqS5KvaWb509WGMYS2O2SsUcG+hk8XSC2uIjEyAiOUmb0D91SNUwU+L8LLc6Q==" saltValue="TJa5YBJ84R8FIz5R4dE3yg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9" t="s">
        <v>164</v>
      </c>
      <c r="C1" s="99"/>
      <c r="D1" s="99"/>
      <c r="E1" s="99"/>
      <c r="F1" s="99"/>
      <c r="G1" s="99"/>
      <c r="H1" s="99"/>
      <c r="I1" s="1"/>
    </row>
    <row r="2" spans="1:9" ht="15" customHeight="1" x14ac:dyDescent="0.25">
      <c r="A2" s="1"/>
      <c r="B2" s="99"/>
      <c r="C2" s="99"/>
      <c r="D2" s="99"/>
      <c r="E2" s="99"/>
      <c r="F2" s="99"/>
      <c r="G2" s="99"/>
      <c r="H2" s="99"/>
      <c r="I2" s="1"/>
    </row>
    <row r="3" spans="1:9" ht="15" customHeight="1" x14ac:dyDescent="0.25">
      <c r="A3" s="1"/>
      <c r="B3" s="100"/>
      <c r="C3" s="100"/>
      <c r="D3" s="100"/>
      <c r="E3" s="100"/>
      <c r="F3" s="100"/>
      <c r="G3" s="100"/>
      <c r="H3" s="100"/>
      <c r="I3" s="1"/>
    </row>
    <row r="4" spans="1:9" x14ac:dyDescent="0.25">
      <c r="A4" s="1"/>
      <c r="B4" s="90" t="s">
        <v>71</v>
      </c>
      <c r="C4" s="91"/>
      <c r="D4" s="91"/>
      <c r="E4" s="91"/>
      <c r="F4" s="91"/>
      <c r="G4" s="91"/>
      <c r="H4" s="92"/>
      <c r="I4" s="1"/>
    </row>
    <row r="5" spans="1:9" x14ac:dyDescent="0.25">
      <c r="A5" s="1"/>
      <c r="B5" s="93" t="s">
        <v>78</v>
      </c>
      <c r="C5" s="94"/>
      <c r="D5" s="94"/>
      <c r="E5" s="94"/>
      <c r="F5" s="95"/>
      <c r="G5" s="24">
        <v>69455899</v>
      </c>
      <c r="H5" s="14" t="s">
        <v>3</v>
      </c>
      <c r="I5" s="1"/>
    </row>
    <row r="6" spans="1:9" x14ac:dyDescent="0.25">
      <c r="A6" s="1"/>
      <c r="B6" s="93" t="s">
        <v>72</v>
      </c>
      <c r="C6" s="94"/>
      <c r="D6" s="94"/>
      <c r="E6" s="94"/>
      <c r="F6" s="95"/>
      <c r="G6" s="24">
        <f>G5*'Fane 14. Nøgletal'!C18</f>
        <v>632048.68090000004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0" t="s">
        <v>79</v>
      </c>
      <c r="C9" s="91"/>
      <c r="D9" s="91"/>
      <c r="E9" s="91"/>
      <c r="F9" s="91"/>
      <c r="G9" s="91"/>
      <c r="H9" s="92"/>
      <c r="I9" s="1"/>
    </row>
    <row r="10" spans="1:9" x14ac:dyDescent="0.25">
      <c r="A10" s="1"/>
      <c r="B10" s="93" t="s">
        <v>80</v>
      </c>
      <c r="C10" s="94"/>
      <c r="D10" s="94"/>
      <c r="E10" s="94"/>
      <c r="F10" s="95"/>
      <c r="G10" s="24">
        <f>(G5-G6)*(1+'Fane 14. Nøgletal'!C10)</f>
        <v>70028267.699684247</v>
      </c>
      <c r="H10" s="14" t="s">
        <v>3</v>
      </c>
      <c r="I10" s="1"/>
    </row>
    <row r="11" spans="1:9" x14ac:dyDescent="0.25">
      <c r="A11" s="1"/>
      <c r="B11" s="93" t="s">
        <v>183</v>
      </c>
      <c r="C11" s="94"/>
      <c r="D11" s="94"/>
      <c r="E11" s="94"/>
      <c r="F11" s="95"/>
      <c r="G11" s="24">
        <v>609609.18380336568</v>
      </c>
      <c r="H11" s="14" t="s">
        <v>3</v>
      </c>
      <c r="I11" s="1"/>
    </row>
    <row r="12" spans="1:9" x14ac:dyDescent="0.25">
      <c r="A12" s="1"/>
      <c r="B12" s="96" t="s">
        <v>81</v>
      </c>
      <c r="C12" s="97"/>
      <c r="D12" s="97"/>
      <c r="E12" s="97"/>
      <c r="F12" s="98"/>
      <c r="G12" s="24">
        <v>0</v>
      </c>
      <c r="H12" s="14" t="s">
        <v>3</v>
      </c>
      <c r="I12" s="1"/>
    </row>
    <row r="13" spans="1:9" x14ac:dyDescent="0.25">
      <c r="A13" s="1"/>
      <c r="B13" s="93" t="s">
        <v>82</v>
      </c>
      <c r="C13" s="94"/>
      <c r="D13" s="94"/>
      <c r="E13" s="94"/>
      <c r="F13" s="95"/>
      <c r="G13" s="24">
        <f>SUM(G10:G12)*'Fane 14. Nøgletal'!C19</f>
        <v>1250290.4208377309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0" t="s">
        <v>83</v>
      </c>
      <c r="C16" s="91"/>
      <c r="D16" s="91"/>
      <c r="E16" s="91"/>
      <c r="F16" s="91"/>
      <c r="G16" s="91"/>
      <c r="H16" s="92"/>
      <c r="I16" s="1"/>
    </row>
    <row r="17" spans="1:9" x14ac:dyDescent="0.25">
      <c r="A17" s="1"/>
      <c r="B17" s="93" t="s">
        <v>84</v>
      </c>
      <c r="C17" s="94"/>
      <c r="D17" s="94"/>
      <c r="E17" s="94"/>
      <c r="F17" s="95"/>
      <c r="G17" s="24">
        <f>(SUM(G10:G12)-G13)*(1+'Fane 14. Nøgletal'!C10)</f>
        <v>70601869.225746259</v>
      </c>
      <c r="H17" s="14" t="s">
        <v>3</v>
      </c>
      <c r="I17" s="1"/>
    </row>
    <row r="18" spans="1:9" x14ac:dyDescent="0.25">
      <c r="A18" s="1"/>
      <c r="B18" s="96" t="s">
        <v>85</v>
      </c>
      <c r="C18" s="97"/>
      <c r="D18" s="97"/>
      <c r="E18" s="97"/>
      <c r="F18" s="98"/>
      <c r="G18" s="24">
        <v>171640.63180462996</v>
      </c>
      <c r="H18" s="14" t="s">
        <v>3</v>
      </c>
      <c r="I18" s="1"/>
    </row>
    <row r="19" spans="1:9" x14ac:dyDescent="0.25">
      <c r="A19" s="1"/>
      <c r="B19" s="93" t="s">
        <v>86</v>
      </c>
      <c r="C19" s="94"/>
      <c r="D19" s="94"/>
      <c r="E19" s="94"/>
      <c r="F19" s="95"/>
      <c r="G19" s="24">
        <f>G17*'Fane 14. Nøgletal'!C19+G18*'Fane 14. Nøgletal'!C20</f>
        <v>1251146.3587924091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0" t="s">
        <v>87</v>
      </c>
      <c r="C22" s="91"/>
      <c r="D22" s="91"/>
      <c r="E22" s="91"/>
      <c r="F22" s="91"/>
      <c r="G22" s="91"/>
      <c r="H22" s="92"/>
      <c r="I22" s="1"/>
    </row>
    <row r="23" spans="1:9" x14ac:dyDescent="0.25">
      <c r="A23" s="1"/>
      <c r="B23" s="93" t="s">
        <v>88</v>
      </c>
      <c r="C23" s="94"/>
      <c r="D23" s="94"/>
      <c r="E23" s="94"/>
      <c r="F23" s="95"/>
      <c r="G23" s="24">
        <f>(G17+G18-G19)*(1+'Fane 14. Nøgletal'!C12)</f>
        <v>70891954.059684023</v>
      </c>
      <c r="H23" s="14" t="s">
        <v>3</v>
      </c>
      <c r="I23" s="1"/>
    </row>
    <row r="24" spans="1:9" x14ac:dyDescent="0.25">
      <c r="A24" s="1"/>
      <c r="B24" s="96" t="s">
        <v>89</v>
      </c>
      <c r="C24" s="97"/>
      <c r="D24" s="97"/>
      <c r="E24" s="97"/>
      <c r="F24" s="98"/>
      <c r="G24" s="24">
        <v>44305.370514900002</v>
      </c>
      <c r="H24" s="14" t="s">
        <v>3</v>
      </c>
      <c r="I24" s="1"/>
    </row>
    <row r="25" spans="1:9" x14ac:dyDescent="0.25">
      <c r="A25" s="1"/>
      <c r="B25" s="93" t="s">
        <v>90</v>
      </c>
      <c r="C25" s="94"/>
      <c r="D25" s="94"/>
      <c r="E25" s="94"/>
      <c r="F25" s="95"/>
      <c r="G25" s="24">
        <f>(G23+G24)*'Fane 14. Nøgletal'!C21</f>
        <v>2014589.7678176495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0" t="s">
        <v>91</v>
      </c>
      <c r="C28" s="91"/>
      <c r="D28" s="91"/>
      <c r="E28" s="91"/>
      <c r="F28" s="91"/>
      <c r="G28" s="91"/>
      <c r="H28" s="92"/>
      <c r="I28" s="1"/>
    </row>
    <row r="29" spans="1:9" x14ac:dyDescent="0.25">
      <c r="A29" s="1"/>
      <c r="B29" s="93" t="s">
        <v>92</v>
      </c>
      <c r="C29" s="94"/>
      <c r="D29" s="94"/>
      <c r="E29" s="94"/>
      <c r="F29" s="95"/>
      <c r="G29" s="24">
        <f>(G23+G24-G25)*(1+'Fane 14. Nøgletal'!C12)</f>
        <v>70279426.554730192</v>
      </c>
      <c r="H29" s="14" t="s">
        <v>3</v>
      </c>
      <c r="I29" s="1"/>
    </row>
    <row r="30" spans="1:9" x14ac:dyDescent="0.25">
      <c r="A30" s="1"/>
      <c r="B30" s="93" t="s">
        <v>235</v>
      </c>
      <c r="C30" s="94"/>
      <c r="D30" s="94"/>
      <c r="E30" s="94"/>
      <c r="F30" s="95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3" t="s">
        <v>93</v>
      </c>
      <c r="C31" s="94"/>
      <c r="D31" s="94"/>
      <c r="E31" s="94"/>
      <c r="F31" s="95"/>
      <c r="G31" s="24">
        <f>G29*'Fane 14. Nøgletal'!C21+G30*'Fane 14. Nøgletal'!C22</f>
        <v>1995935.7141543375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0" t="s">
        <v>102</v>
      </c>
      <c r="C34" s="91"/>
      <c r="D34" s="91"/>
      <c r="E34" s="91"/>
      <c r="F34" s="91"/>
      <c r="G34" s="91"/>
      <c r="H34" s="92"/>
      <c r="I34" s="1"/>
    </row>
    <row r="35" spans="1:9" x14ac:dyDescent="0.25">
      <c r="A35" s="1"/>
      <c r="B35" s="93" t="s">
        <v>97</v>
      </c>
      <c r="C35" s="94"/>
      <c r="D35" s="94"/>
      <c r="E35" s="94"/>
      <c r="F35" s="95"/>
      <c r="G35" s="24">
        <f>(G29+G30-G31)*(1+'Fane 14. Nøgletal'!C13)</f>
        <v>69116549.428830877</v>
      </c>
      <c r="H35" s="14" t="s">
        <v>3</v>
      </c>
      <c r="I35" s="1"/>
    </row>
    <row r="36" spans="1:9" x14ac:dyDescent="0.25">
      <c r="A36" s="1"/>
      <c r="B36" s="93" t="s">
        <v>122</v>
      </c>
      <c r="C36" s="94"/>
      <c r="D36" s="94"/>
      <c r="E36" s="94"/>
      <c r="F36" s="95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3" t="s">
        <v>94</v>
      </c>
      <c r="C37" s="94"/>
      <c r="D37" s="94"/>
      <c r="E37" s="94"/>
      <c r="F37" s="95"/>
      <c r="G37" s="24">
        <f>(G35+G36)*'Fane 14. Nøgletal'!C22</f>
        <v>1900705.1092928492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0" t="s">
        <v>103</v>
      </c>
      <c r="C40" s="91"/>
      <c r="D40" s="91"/>
      <c r="E40" s="91"/>
      <c r="F40" s="91"/>
      <c r="G40" s="91"/>
      <c r="H40" s="92"/>
      <c r="I40" s="1"/>
    </row>
    <row r="41" spans="1:9" x14ac:dyDescent="0.25">
      <c r="A41" s="1"/>
      <c r="B41" s="93" t="s">
        <v>96</v>
      </c>
      <c r="C41" s="94"/>
      <c r="D41" s="94"/>
      <c r="E41" s="94"/>
      <c r="F41" s="95"/>
      <c r="G41" s="24">
        <f>(G35+G36-G37)*(1+'Fane 14. Nøgletal'!C13)</f>
        <v>68035877.620236397</v>
      </c>
      <c r="H41" s="14" t="s">
        <v>3</v>
      </c>
      <c r="I41" s="1"/>
    </row>
    <row r="42" spans="1:9" x14ac:dyDescent="0.25">
      <c r="A42" s="1"/>
      <c r="B42" s="93" t="s">
        <v>123</v>
      </c>
      <c r="C42" s="94"/>
      <c r="D42" s="94"/>
      <c r="E42" s="94"/>
      <c r="F42" s="95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3" t="s">
        <v>95</v>
      </c>
      <c r="C43" s="94"/>
      <c r="D43" s="94"/>
      <c r="E43" s="94"/>
      <c r="F43" s="95"/>
      <c r="G43" s="24">
        <f>(G41+G42)*'Fane 14. Nøgletal'!C22</f>
        <v>1870986.6345565009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0" t="s">
        <v>240</v>
      </c>
      <c r="C46" s="91"/>
      <c r="D46" s="91"/>
      <c r="E46" s="91"/>
      <c r="F46" s="91"/>
      <c r="G46" s="91"/>
      <c r="H46" s="92"/>
      <c r="I46" s="1"/>
    </row>
    <row r="47" spans="1:9" x14ac:dyDescent="0.25">
      <c r="A47" s="1"/>
      <c r="B47" s="93" t="s">
        <v>241</v>
      </c>
      <c r="C47" s="94"/>
      <c r="D47" s="94"/>
      <c r="E47" s="94"/>
      <c r="F47" s="95"/>
      <c r="G47" s="24">
        <f>(G41+G42-G43)*(1+'Fane 14. Nøgletal'!C13)</f>
        <v>66972102.655705191</v>
      </c>
      <c r="H47" s="14" t="s">
        <v>3</v>
      </c>
      <c r="I47" s="1"/>
    </row>
    <row r="48" spans="1:9" x14ac:dyDescent="0.25">
      <c r="A48" s="1"/>
      <c r="B48" s="93" t="s">
        <v>242</v>
      </c>
      <c r="C48" s="94"/>
      <c r="D48" s="94"/>
      <c r="E48" s="94"/>
      <c r="F48" s="95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3" t="s">
        <v>243</v>
      </c>
      <c r="C49" s="94"/>
      <c r="D49" s="94"/>
      <c r="E49" s="94"/>
      <c r="F49" s="95"/>
      <c r="G49" s="24">
        <f>(G47+G48)*'Fane 14. Nøgletal'!C22</f>
        <v>1841732.8230318928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LQOIwR3vdrZSHh2xfLuJaVDE7is19J8iDgVZfSL2YiRa8ia+0oj6KvQsOeokAi4/4tA4gIkwBmqNOv00tDzSWQ==" saltValue="bAVqE+OcejmGAI29JuL9Eg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10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104</v>
      </c>
      <c r="C9" s="94"/>
      <c r="D9" s="94"/>
      <c r="E9" s="94"/>
      <c r="F9" s="95"/>
      <c r="G9" s="23">
        <v>2.541401514723738E-3</v>
      </c>
      <c r="H9" s="14"/>
      <c r="I9" s="1"/>
    </row>
    <row r="10" spans="1:9" x14ac:dyDescent="0.25">
      <c r="A10" s="1"/>
      <c r="B10" s="93" t="s">
        <v>105</v>
      </c>
      <c r="C10" s="94"/>
      <c r="D10" s="94"/>
      <c r="E10" s="94"/>
      <c r="F10" s="95"/>
      <c r="G10" s="23">
        <v>2.0550733103243315E-3</v>
      </c>
      <c r="H10" s="14"/>
      <c r="I10" s="1"/>
    </row>
    <row r="11" spans="1:9" x14ac:dyDescent="0.25">
      <c r="A11" s="1"/>
      <c r="B11" s="93" t="s">
        <v>106</v>
      </c>
      <c r="C11" s="94"/>
      <c r="D11" s="94"/>
      <c r="E11" s="94"/>
      <c r="F11" s="95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8" t="s">
        <v>258</v>
      </c>
      <c r="C13" s="79"/>
      <c r="D13" s="79"/>
      <c r="E13" s="79"/>
      <c r="F13" s="79"/>
      <c r="G13" s="79"/>
      <c r="H13" s="80"/>
      <c r="I13" s="1"/>
    </row>
    <row r="14" spans="1:9" ht="14.25" customHeight="1" x14ac:dyDescent="0.25">
      <c r="A14" s="18"/>
      <c r="B14" s="101"/>
      <c r="C14" s="101"/>
      <c r="D14" s="101"/>
      <c r="E14" s="101"/>
      <c r="F14" s="101"/>
      <c r="G14" s="101"/>
      <c r="H14" s="10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trRRc/zJE1mCgztLaF046CJ4s42h2UzIIHXqPkaiU728bruxdpqEJIj0454yPs4Znk5ALtxtG9E+M9KvhrF7w==" saltValue="7qAjAT6kUoBYDrPyOy0VVg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2020-09-01T11:55:26Z</dcterms:modified>
</cp:coreProperties>
</file>