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Greve Vandværk a.m.b.a. (V068)\ØR2024\"/>
    </mc:Choice>
  </mc:AlternateContent>
  <xr:revisionPtr revIDLastSave="0" documentId="13_ncr:1_{E3C48A91-1BD0-4488-97F7-24BBE1EBD90F}"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E23" i="42" l="1"/>
  <c r="E27" i="42" s="1"/>
  <c r="C29" i="2" s="1"/>
  <c r="C8" i="2"/>
  <c r="E31" i="42" l="1"/>
  <c r="E33" i="42" s="1"/>
  <c r="C13" i="29"/>
  <c r="C14" i="29" s="1"/>
  <c r="C17" i="22" l="1"/>
  <c r="C17" i="15"/>
  <c r="E14" i="39"/>
  <c r="C14" i="39"/>
  <c r="C31" i="2" l="1"/>
  <c r="E15" i="39" l="1"/>
  <c r="C15" i="39"/>
  <c r="J11" i="11"/>
  <c r="H11" i="11"/>
  <c r="F10" i="11" l="1"/>
  <c r="F11" i="11" s="1"/>
  <c r="C19" i="23" l="1"/>
  <c r="C19" i="22"/>
  <c r="C19" i="15"/>
  <c r="G18" i="40"/>
  <c r="E13" i="29" l="1"/>
  <c r="C19" i="19"/>
  <c r="C20" i="19" s="1"/>
  <c r="C15" i="23" l="1"/>
  <c r="C15" i="15"/>
  <c r="C15" i="22"/>
  <c r="E14" i="29"/>
  <c r="C14" i="2" s="1"/>
  <c r="E10" i="37"/>
  <c r="E18" i="37" s="1"/>
  <c r="E19" i="37" s="1"/>
  <c r="C10" i="37"/>
  <c r="C18" i="37" s="1"/>
  <c r="C19"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4" i="2" s="1"/>
  <c r="G58" i="36" l="1"/>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<sst xmlns="http://schemas.openxmlformats.org/spreadsheetml/2006/main" count="554" uniqueCount="264">
  <si>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</si>
  <si>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</si>
  <si>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</si>
  <si>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</si>
  <si>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</si>
  <si>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</si>
  <si>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</si>
  <si>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</si>
  <si>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</si>
  <si>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</si>
  <si>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</si>
  <si>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</si>
  <si>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</si>
  <si>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</si>
  <si>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</si>
  <si>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</si>
  <si>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</si>
  <si>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</si>
  <si>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</si>
  <si>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</si>
  <si>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</si>
  <si>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</si>
  <si>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</si>
  <si>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</si>
  <si>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</si>
  <si>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</si>
  <si>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</si>
  <si>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</si>
  <si>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</si>
  <si>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</si>
  <si>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</si>
  <si>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</si>
  <si>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</si>
  <si>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</si>
  <si>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</si>
  <si>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</si>
  <si>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</si>
  <si>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</si>
  <si>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</si>
  <si>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</si>
  <si>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</si>
  <si>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</si>
  <si>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</si>
  <si>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</si>
  <si>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</si>
  <si>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</si>
  <si>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</si>
  <si>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</si>
  <si>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</si>
  <si>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</si>
  <si>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</si>
  <si>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</si>
  <si>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</si>
  <si>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</si>
  <si>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</si>
  <si>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</si>
  <si>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</si>
  <si>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</si>
  <si>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</si>
  <si>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</si>
  <si>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</si>
  <si>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</si>
  <si>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</si>
  <si>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</si>
  <si>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</si>
  <si>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</si>
  <si>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</si>
  <si>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</si>
  <si>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</si>
  <si>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</si>
  <si>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</si>
  <si>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</si>
  <si>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</si>
  <si>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</si>
  <si>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</si>
  <si>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</si>
  <si>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</si>
  <si>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</si>
  <si>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</si>
  <si>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</si>
  <si>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</si>
  <si>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</si>
  <si>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</si>
  <si>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</si>
  <si>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</si>
  <si>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</si>
  <si>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</si>
  <si>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</si>
  <si>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</si>
  <si>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</si>
  <si>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</si>
  <si>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</si>
  <si>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</si>
  <si>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</si>
  <si>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</si>
  <si>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</si>
  <si>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</si>
  <si>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</si>
  <si>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</si>
  <si>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</si>
  <si>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</si>
  <si>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</si>
  <si>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</si>
  <si>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</si>
  <si>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</si>
  <si>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</si>
  <si>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</si>
  <si>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</si>
  <si>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</si>
  <si>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</si>
  <si>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</si>
  <si>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</si>
  <si>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</si>
  <si>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</si>
  <si>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</si>
  <si>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</si>
  <si>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</si>
  <si>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</si>
  <si>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</si>
  <si>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</si>
  <si>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</si>
  <si>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</si>
  <si>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</si>
  <si>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</si>
  <si>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</si>
  <si>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</si>
  <si>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</si>
  <si>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</si>
  <si>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</si>
  <si>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</si>
  <si>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</si>
  <si>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</si>
  <si>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</si>
  <si>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</si>
  <si>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</si>
  <si>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</si>
  <si>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</si>
  <si>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</si>
  <si>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</si>
  <si>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</si>
  <si>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</si>
  <si>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</si>
  <si>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</si>
  <si>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</si>
  <si>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</si>
  <si>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</si>
  <si>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</si>
  <si>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</si>
  <si>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</si>
  <si>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</si>
  <si>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</si>
  <si>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</si>
  <si>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</si>
  <si>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</si>
  <si>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</si>
  <si>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</si>
  <si>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</si>
  <si>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</si>
  <si>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</si>
  <si>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</si>
  <si>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</si>
  <si>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</si>
  <si>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</si>
  <si>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</si>
  <si>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</si>
  <si>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</si>
  <si>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</si>
  <si>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</si>
  <si>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</si>
  <si>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</si>
  <si>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</si>
  <si>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</si>
  <si>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</si>
  <si>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</si>
  <si>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</si>
  <si>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</si>
  <si>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</si>
  <si>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</si>
  <si>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</si>
  <si>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</si>
  <si>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</si>
  <si>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</si>
  <si>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</si>
  <si>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</si>
  <si>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</si>
  <si>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</si>
  <si>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</si>
  <si>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</si>
  <si>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</si>
  <si>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</si>
  <si>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</si>
  <si>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</si>
  <si>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</si>
  <si>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</si>
  <si>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</si>
  <si>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</si>
  <si>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</si>
  <si>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</si>
  <si>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</si>
  <si>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</si>
  <si>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</si>
  <si>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</si>
  <si>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</si>
  <si>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</si>
  <si>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</si>
  <si>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</si>
  <si>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</si>
  <si>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</si>
  <si>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</si>
  <si>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</si>
  <si>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</si>
  <si>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</si>
  <si>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</si>
  <si>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</si>
  <si>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</si>
  <si>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</si>
  <si>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</si>
  <si>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</si>
  <si>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</si>
  <si>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</si>
  <si>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</si>
  <si>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</si>
  <si>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</si>
  <si>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</si>
  <si>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</si>
  <si>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</si>
  <si>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</si>
  <si>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</si>
  <si>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</si>
  <si>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</si>
  <si>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</si>
  <si>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</si>
  <si>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</si>
  <si>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</si>
  <si>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</si>
  <si>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</si>
  <si>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</si>
  <si>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</si>
  <si>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</si>
  <si>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</si>
  <si>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</si>
  <si>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</si>
  <si>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</si>
  <si>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</si>
  <si>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</si>
  <si>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Køb af ydelser og produkter fra andre vandselskaber reguleret af vandsektorloven</t>
  </si>
  <si>
    <t>Sektionering</t>
  </si>
  <si>
    <t>Udvidelse forsyningsområdet 2022</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</si>
  <si>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</si>
  <si>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</si>
  <si>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</si>
  <si>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</si>
  <si>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</si>
  <si>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</si>
  <si>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</si>
  <si>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</si>
  <si>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</si>
  <si>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</si>
  <si>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</si>
  <si>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</si>
  <si>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</si>
  <si>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Ledningsomlægninger Prinsesseparken</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</si>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</sst>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 val="Ark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C5">
            <v>1.0168999999999999</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1" t="s">
        <v>4</v>
      </c>
      <c r="E6" s="91"/>
      <c r="F6" s="91"/>
      <c r="G6" s="91"/>
      <c r="H6" s="3"/>
      <c r="I6" s="1"/>
    </row>
    <row r="7" spans="1:9" ht="15" customHeight="1" x14ac:dyDescent="0.25">
      <c r="A7" s="1"/>
      <c r="B7" s="1"/>
      <c r="C7" s="3"/>
      <c r="D7" s="91"/>
      <c r="E7" s="91"/>
      <c r="F7" s="91"/>
      <c r="G7" s="91"/>
      <c r="H7" s="3"/>
      <c r="I7" s="1"/>
    </row>
    <row r="8" spans="1:9" ht="15.75" x14ac:dyDescent="0.25">
      <c r="A8" s="1"/>
      <c r="B8" s="1"/>
      <c r="C8" s="4"/>
      <c r="D8" s="93" t="s">
        <v>235</v>
      </c>
      <c r="E8" s="93"/>
      <c r="F8" s="93"/>
      <c r="G8" s="93"/>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2" t="s">
        <v>5</v>
      </c>
      <c r="E11" s="92"/>
      <c r="F11" s="92"/>
      <c r="G11" s="92"/>
      <c r="H11" s="5"/>
      <c r="I11" s="1"/>
    </row>
    <row r="12" spans="1:9" x14ac:dyDescent="0.25">
      <c r="A12" s="1"/>
      <c r="B12" s="1"/>
      <c r="C12" s="1"/>
      <c r="D12" s="1"/>
      <c r="E12" s="1"/>
      <c r="F12" s="1"/>
      <c r="G12" s="1"/>
      <c r="H12" s="1"/>
      <c r="I12" s="1"/>
    </row>
    <row r="13" spans="1:9" x14ac:dyDescent="0.25">
      <c r="A13" s="1"/>
      <c r="B13" s="1"/>
      <c r="C13" s="6" t="s">
        <v>6</v>
      </c>
      <c r="D13" s="88" t="s">
        <v>162</v>
      </c>
      <c r="E13" s="89"/>
      <c r="F13" s="89"/>
      <c r="G13" s="90"/>
      <c r="H13" s="1"/>
      <c r="I13" s="1"/>
    </row>
    <row r="14" spans="1:9" x14ac:dyDescent="0.25">
      <c r="A14" s="1"/>
      <c r="B14" s="1"/>
      <c r="C14" s="6" t="s">
        <v>14</v>
      </c>
      <c r="D14" s="88" t="s">
        <v>197</v>
      </c>
      <c r="E14" s="89"/>
      <c r="F14" s="89"/>
      <c r="G14" s="90"/>
      <c r="H14" s="1"/>
      <c r="I14" s="1"/>
    </row>
    <row r="15" spans="1:9" x14ac:dyDescent="0.25">
      <c r="A15" s="1"/>
      <c r="B15" s="1"/>
      <c r="C15" s="6" t="s">
        <v>30</v>
      </c>
      <c r="D15" s="88" t="s">
        <v>141</v>
      </c>
      <c r="E15" s="89"/>
      <c r="F15" s="89"/>
      <c r="G15" s="90"/>
      <c r="H15" s="1"/>
      <c r="I15" s="1"/>
    </row>
    <row r="16" spans="1:9" x14ac:dyDescent="0.25">
      <c r="A16" s="1"/>
      <c r="B16" s="1"/>
      <c r="C16" s="6" t="s">
        <v>31</v>
      </c>
      <c r="D16" s="88" t="s">
        <v>194</v>
      </c>
      <c r="E16" s="89"/>
      <c r="F16" s="89"/>
      <c r="G16" s="90"/>
      <c r="H16" s="1"/>
      <c r="I16" s="1"/>
    </row>
    <row r="17" spans="1:9" x14ac:dyDescent="0.25">
      <c r="A17" s="1"/>
      <c r="B17" s="1"/>
      <c r="C17" s="6" t="s">
        <v>102</v>
      </c>
      <c r="D17" s="88" t="s">
        <v>195</v>
      </c>
      <c r="E17" s="89"/>
      <c r="F17" s="89"/>
      <c r="G17" s="90"/>
      <c r="H17" s="1"/>
      <c r="I17" s="1"/>
    </row>
    <row r="18" spans="1:9" x14ac:dyDescent="0.25">
      <c r="A18" s="1"/>
      <c r="B18" s="1"/>
      <c r="C18" s="6" t="s">
        <v>86</v>
      </c>
      <c r="D18" s="94" t="s">
        <v>79</v>
      </c>
      <c r="E18" s="95"/>
      <c r="F18" s="95"/>
      <c r="G18" s="96"/>
      <c r="H18" s="1"/>
      <c r="I18" s="1"/>
    </row>
    <row r="19" spans="1:9" x14ac:dyDescent="0.25">
      <c r="A19" s="1"/>
      <c r="B19" s="1"/>
      <c r="C19" s="6" t="s">
        <v>87</v>
      </c>
      <c r="D19" s="94" t="s">
        <v>80</v>
      </c>
      <c r="E19" s="95"/>
      <c r="F19" s="95"/>
      <c r="G19" s="96"/>
      <c r="H19" s="1"/>
      <c r="I19" s="1"/>
    </row>
    <row r="20" spans="1:9" x14ac:dyDescent="0.25">
      <c r="A20" s="1"/>
      <c r="B20" s="1"/>
      <c r="C20" s="6" t="s">
        <v>7</v>
      </c>
      <c r="D20" s="94" t="s">
        <v>9</v>
      </c>
      <c r="E20" s="95"/>
      <c r="F20" s="95"/>
      <c r="G20" s="96"/>
      <c r="H20" s="1"/>
      <c r="I20" s="1"/>
    </row>
    <row r="21" spans="1:9" x14ac:dyDescent="0.25">
      <c r="A21" s="1"/>
      <c r="B21" s="1"/>
      <c r="C21" s="6" t="s">
        <v>88</v>
      </c>
      <c r="D21" s="85" t="s">
        <v>11</v>
      </c>
      <c r="E21" s="86"/>
      <c r="F21" s="86"/>
      <c r="G21" s="87"/>
      <c r="H21" s="1"/>
      <c r="I21" s="1"/>
    </row>
    <row r="22" spans="1:9" x14ac:dyDescent="0.25">
      <c r="A22" s="1"/>
      <c r="B22" s="1"/>
      <c r="C22" s="6" t="s">
        <v>73</v>
      </c>
      <c r="D22" s="79" t="s">
        <v>196</v>
      </c>
      <c r="E22" s="80"/>
      <c r="F22" s="80"/>
      <c r="G22" s="81"/>
      <c r="H22" s="1"/>
      <c r="I22" s="1"/>
    </row>
    <row r="23" spans="1:9" x14ac:dyDescent="0.25">
      <c r="A23" s="1"/>
      <c r="B23" s="1"/>
      <c r="C23" s="6" t="s">
        <v>8</v>
      </c>
      <c r="D23" s="79" t="s">
        <v>176</v>
      </c>
      <c r="E23" s="80"/>
      <c r="F23" s="80"/>
      <c r="G23" s="81"/>
      <c r="H23" s="1"/>
      <c r="I23" s="1"/>
    </row>
    <row r="24" spans="1:9" x14ac:dyDescent="0.25">
      <c r="A24" s="1"/>
      <c r="B24" s="1"/>
      <c r="C24" s="6" t="s">
        <v>172</v>
      </c>
      <c r="D24" s="79" t="s">
        <v>163</v>
      </c>
      <c r="E24" s="80"/>
      <c r="F24" s="80"/>
      <c r="G24" s="81"/>
      <c r="H24" s="1"/>
      <c r="I24" s="1"/>
    </row>
    <row r="25" spans="1:9" x14ac:dyDescent="0.25">
      <c r="A25" s="1"/>
      <c r="B25" s="1"/>
      <c r="C25" s="6" t="s">
        <v>173</v>
      </c>
      <c r="D25" s="79" t="s">
        <v>74</v>
      </c>
      <c r="E25" s="80"/>
      <c r="F25" s="80"/>
      <c r="G25" s="81"/>
      <c r="H25" s="1"/>
      <c r="I25" s="1"/>
    </row>
    <row r="26" spans="1:9" x14ac:dyDescent="0.25">
      <c r="A26" s="1"/>
      <c r="B26" s="1"/>
      <c r="C26" s="6" t="s">
        <v>174</v>
      </c>
      <c r="D26" s="79" t="s">
        <v>75</v>
      </c>
      <c r="E26" s="80"/>
      <c r="F26" s="80"/>
      <c r="G26" s="81"/>
      <c r="H26" s="1"/>
      <c r="I26" s="1"/>
    </row>
    <row r="27" spans="1:9" x14ac:dyDescent="0.25">
      <c r="A27" s="1"/>
      <c r="B27" s="1"/>
      <c r="C27" s="6" t="s">
        <v>89</v>
      </c>
      <c r="D27" s="79" t="s">
        <v>103</v>
      </c>
      <c r="E27" s="80"/>
      <c r="F27" s="80"/>
      <c r="G27" s="81"/>
      <c r="H27" s="1"/>
      <c r="I27" s="1"/>
    </row>
    <row r="28" spans="1:9" x14ac:dyDescent="0.25">
      <c r="A28" s="1"/>
      <c r="B28" s="1"/>
      <c r="C28" s="6" t="s">
        <v>83</v>
      </c>
      <c r="D28" s="79" t="s">
        <v>32</v>
      </c>
      <c r="E28" s="80"/>
      <c r="F28" s="80"/>
      <c r="G28" s="81"/>
      <c r="H28" s="1"/>
      <c r="I28" s="1"/>
    </row>
    <row r="29" spans="1:9" x14ac:dyDescent="0.25">
      <c r="A29" s="1"/>
      <c r="B29" s="1"/>
      <c r="C29" s="6" t="s">
        <v>175</v>
      </c>
      <c r="D29" s="82" t="s">
        <v>84</v>
      </c>
      <c r="E29" s="83"/>
      <c r="F29" s="83"/>
      <c r="G29" s="84"/>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jSW8XmwAsPL47KwPm6T6ys6vpeV4mzMU+61HtTn3D117gydQilVoXu3+XQ2D7ZOEy2e+33zZChKDySWaJcmvNw==" saltValue="NAHIdDVNRKwxm4MhG+0UTg=="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1" t="s">
        <v>226</v>
      </c>
      <c r="C8" s="102"/>
      <c r="D8" s="103"/>
      <c r="E8" s="1"/>
      <c r="F8" s="1"/>
    </row>
    <row r="9" spans="1:6" ht="15" customHeight="1" x14ac:dyDescent="0.25">
      <c r="A9" s="1"/>
      <c r="B9" s="32" t="s">
        <v>28</v>
      </c>
      <c r="C9" s="11" t="s">
        <v>212</v>
      </c>
      <c r="D9" s="11"/>
      <c r="E9" s="1"/>
      <c r="F9" s="1"/>
    </row>
    <row r="10" spans="1:6" ht="15" customHeight="1" x14ac:dyDescent="0.25">
      <c r="A10" s="1"/>
      <c r="B10" s="68" t="s">
        <v>243</v>
      </c>
      <c r="C10" s="9">
        <v>12334352</v>
      </c>
      <c r="D10" s="14" t="s">
        <v>3</v>
      </c>
      <c r="E10" s="1"/>
      <c r="F10" s="1"/>
    </row>
    <row r="11" spans="1:6" x14ac:dyDescent="0.25">
      <c r="A11" s="1"/>
      <c r="B11" s="68" t="s">
        <v>244</v>
      </c>
      <c r="C11" s="9">
        <v>97535</v>
      </c>
      <c r="D11" s="14" t="s">
        <v>3</v>
      </c>
      <c r="E11" s="1"/>
      <c r="F11" s="1"/>
    </row>
    <row r="12" spans="1:6" ht="26.25" x14ac:dyDescent="0.25">
      <c r="A12" s="1"/>
      <c r="B12" s="55" t="s">
        <v>245</v>
      </c>
      <c r="C12" s="9">
        <v>349393</v>
      </c>
      <c r="D12" s="14" t="s">
        <v>3</v>
      </c>
      <c r="E12" s="1"/>
      <c r="F12" s="1"/>
    </row>
    <row r="13" spans="1:6" x14ac:dyDescent="0.25">
      <c r="A13" s="1"/>
      <c r="B13" s="68"/>
      <c r="C13" s="9"/>
      <c r="D13" s="14" t="s">
        <v>3</v>
      </c>
      <c r="E13" s="1"/>
      <c r="F13" s="1"/>
    </row>
    <row r="14" spans="1:6" x14ac:dyDescent="0.25">
      <c r="A14" s="1"/>
      <c r="B14" s="68"/>
      <c r="C14" s="9"/>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2" t="s">
        <v>213</v>
      </c>
      <c r="C19" s="12">
        <f>SUM(C10:C18)</f>
        <v>12781280</v>
      </c>
      <c r="D19" s="13" t="s">
        <v>3</v>
      </c>
      <c r="E19" s="1"/>
      <c r="F19" s="1"/>
    </row>
    <row r="20" spans="1:6" x14ac:dyDescent="0.25">
      <c r="A20" s="1"/>
      <c r="B20" s="52" t="s">
        <v>214</v>
      </c>
      <c r="C20" s="12">
        <f>C19*(1+'Fane 13. Nøgletal'!C16)^2</f>
        <v>14930179.223859198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4"/>
      <c r="B50" s="44"/>
      <c r="C50" s="44"/>
      <c r="D50" s="44"/>
      <c r="E50" s="44"/>
      <c r="F50" s="44"/>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sheetData>
  <sheetProtection algorithmName="SHA-512" hashValue="Nin5x/gLvxSNk/dGH9NvZZ7N6GN5p1D7+VAR4dSne5mbLY/IFw/07V8xmDHiBZ4ECl1ggtH2PSdG7DuECQzIcA==" saltValue="rT/vyUiZQJQ76WDJGOhOL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7822-10D2-4D97-BB68-71DF75643BCE}">
  <sheetPr codeName="Ark9"/>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9"/>
      <c r="D6" s="60"/>
      <c r="E6" s="64"/>
      <c r="F6" s="64"/>
      <c r="G6" s="1"/>
    </row>
    <row r="7" spans="1:7" x14ac:dyDescent="0.25">
      <c r="A7" s="1"/>
      <c r="B7" s="1"/>
      <c r="C7" s="1"/>
      <c r="D7" s="1"/>
      <c r="E7" s="61"/>
      <c r="F7" s="1"/>
      <c r="G7" s="1"/>
    </row>
    <row r="8" spans="1:7" x14ac:dyDescent="0.25">
      <c r="A8" s="1"/>
      <c r="B8" s="101" t="s">
        <v>248</v>
      </c>
      <c r="C8" s="102"/>
      <c r="D8" s="102"/>
      <c r="E8" s="102"/>
      <c r="F8" s="103"/>
      <c r="G8" s="1"/>
    </row>
    <row r="9" spans="1:7" x14ac:dyDescent="0.25">
      <c r="A9" s="1"/>
      <c r="B9" s="104" t="s">
        <v>249</v>
      </c>
      <c r="C9" s="105"/>
      <c r="D9" s="106"/>
      <c r="E9" s="28">
        <v>-165807</v>
      </c>
      <c r="F9" s="14" t="s">
        <v>3</v>
      </c>
      <c r="G9" s="1"/>
    </row>
    <row r="10" spans="1:7" x14ac:dyDescent="0.25">
      <c r="A10" s="1"/>
      <c r="B10" s="52"/>
      <c r="C10" s="53"/>
      <c r="D10" s="53"/>
      <c r="E10" s="53"/>
      <c r="F10" s="19"/>
      <c r="G10" s="1"/>
    </row>
    <row r="11" spans="1:7" ht="53.25" customHeight="1" x14ac:dyDescent="0.25">
      <c r="A11" s="1"/>
      <c r="B11" s="119" t="s">
        <v>250</v>
      </c>
      <c r="C11" s="120"/>
      <c r="D11" s="120"/>
      <c r="E11" s="120"/>
      <c r="F11" s="121"/>
      <c r="G11" s="1"/>
    </row>
    <row r="12" spans="1:7" x14ac:dyDescent="0.25">
      <c r="A12" s="1"/>
      <c r="B12" s="1"/>
      <c r="C12" s="1"/>
      <c r="D12" s="1"/>
      <c r="E12" s="1"/>
      <c r="F12" s="1"/>
      <c r="G12" s="1"/>
    </row>
    <row r="13" spans="1:7" x14ac:dyDescent="0.25">
      <c r="A13" s="1"/>
      <c r="B13" s="101" t="s">
        <v>140</v>
      </c>
      <c r="C13" s="102"/>
      <c r="D13" s="102"/>
      <c r="E13" s="102"/>
      <c r="F13" s="103"/>
      <c r="G13" s="1"/>
    </row>
    <row r="14" spans="1:7" x14ac:dyDescent="0.25">
      <c r="A14" s="1"/>
      <c r="B14" s="104" t="s">
        <v>251</v>
      </c>
      <c r="C14" s="105"/>
      <c r="D14" s="106"/>
      <c r="E14" s="9">
        <v>-852767</v>
      </c>
      <c r="F14" s="14" t="s">
        <v>3</v>
      </c>
      <c r="G14" s="1"/>
    </row>
    <row r="15" spans="1:7" x14ac:dyDescent="0.25">
      <c r="A15" s="1"/>
      <c r="B15" s="104" t="s">
        <v>252</v>
      </c>
      <c r="C15" s="105"/>
      <c r="D15" s="106"/>
      <c r="E15" s="9">
        <v>-852767</v>
      </c>
      <c r="F15" s="14" t="s">
        <v>3</v>
      </c>
      <c r="G15" s="1"/>
    </row>
    <row r="16" spans="1:7" x14ac:dyDescent="0.25">
      <c r="A16" s="1"/>
      <c r="B16" s="52"/>
      <c r="C16" s="53"/>
      <c r="D16" s="53"/>
      <c r="E16" s="53"/>
      <c r="F16" s="19"/>
      <c r="G16" s="1"/>
    </row>
    <row r="17" spans="1:7" ht="32.25" customHeight="1" x14ac:dyDescent="0.25">
      <c r="A17" s="1"/>
      <c r="B17" s="119" t="s">
        <v>253</v>
      </c>
      <c r="C17" s="120"/>
      <c r="D17" s="120"/>
      <c r="E17" s="120"/>
      <c r="F17" s="121"/>
      <c r="G17" s="1"/>
    </row>
    <row r="18" spans="1:7" x14ac:dyDescent="0.25">
      <c r="A18" s="1"/>
      <c r="B18" s="1"/>
      <c r="C18" s="1"/>
      <c r="D18" s="1"/>
      <c r="E18" s="1"/>
      <c r="F18" s="1"/>
      <c r="G18" s="1"/>
    </row>
    <row r="19" spans="1:7" x14ac:dyDescent="0.25">
      <c r="A19" s="1"/>
      <c r="B19" s="69" t="s">
        <v>254</v>
      </c>
      <c r="C19" s="70"/>
      <c r="D19" s="70"/>
      <c r="E19" s="70"/>
      <c r="F19" s="71"/>
      <c r="G19" s="1"/>
    </row>
    <row r="20" spans="1:7" x14ac:dyDescent="0.25">
      <c r="A20" s="1"/>
      <c r="B20" s="65" t="s">
        <v>255</v>
      </c>
      <c r="C20" s="66"/>
      <c r="D20" s="67"/>
      <c r="E20" s="9">
        <v>38432671</v>
      </c>
      <c r="F20" s="14" t="s">
        <v>3</v>
      </c>
      <c r="G20" s="1"/>
    </row>
    <row r="21" spans="1:7" x14ac:dyDescent="0.25">
      <c r="A21" s="1"/>
      <c r="B21" s="65" t="s">
        <v>256</v>
      </c>
      <c r="C21" s="66"/>
      <c r="D21" s="67"/>
      <c r="E21" s="9">
        <v>38178079</v>
      </c>
      <c r="F21" s="14" t="s">
        <v>3</v>
      </c>
      <c r="G21" s="1"/>
    </row>
    <row r="22" spans="1:7" x14ac:dyDescent="0.25">
      <c r="A22" s="1"/>
      <c r="B22" s="65" t="s">
        <v>29</v>
      </c>
      <c r="C22" s="66"/>
      <c r="D22" s="67"/>
      <c r="E22" s="9">
        <v>0</v>
      </c>
      <c r="F22" s="14" t="s">
        <v>3</v>
      </c>
      <c r="G22" s="1"/>
    </row>
    <row r="23" spans="1:7" x14ac:dyDescent="0.25">
      <c r="A23" s="1"/>
      <c r="B23" s="73" t="s">
        <v>257</v>
      </c>
      <c r="C23" s="74"/>
      <c r="D23" s="75"/>
      <c r="E23" s="10">
        <f>E20-(E21-E22)</f>
        <v>254592</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1" t="s">
        <v>258</v>
      </c>
      <c r="C26" s="102"/>
      <c r="D26" s="102"/>
      <c r="E26" s="102"/>
      <c r="F26" s="103"/>
      <c r="G26" s="1"/>
    </row>
    <row r="27" spans="1:7" x14ac:dyDescent="0.25">
      <c r="A27" s="1"/>
      <c r="B27" s="129" t="s">
        <v>259</v>
      </c>
      <c r="C27" s="130"/>
      <c r="D27" s="131"/>
      <c r="E27" s="62">
        <f>IF(AND(E15&lt;0,E23&gt;0,ABS(SUM(E14:E15))&lt;E23),ABS(E14),IF(AND(E15&lt;0,E23&gt;0,ABS(SUM(E14:E15))&gt;E23),SUM(E14,E23),0))</f>
        <v>-598175</v>
      </c>
      <c r="F27" s="17" t="s">
        <v>3</v>
      </c>
      <c r="G27" s="1"/>
    </row>
    <row r="28" spans="1:7" x14ac:dyDescent="0.25">
      <c r="A28" s="1"/>
      <c r="B28" s="101"/>
      <c r="C28" s="102"/>
      <c r="D28" s="102"/>
      <c r="E28" s="102"/>
      <c r="F28" s="103"/>
      <c r="G28" s="1"/>
    </row>
    <row r="29" spans="1:7" x14ac:dyDescent="0.25">
      <c r="A29" s="1"/>
      <c r="B29" s="1"/>
      <c r="C29" s="1"/>
      <c r="D29" s="1"/>
      <c r="E29" s="1"/>
      <c r="F29" s="1"/>
      <c r="G29" s="1"/>
    </row>
    <row r="30" spans="1:7" x14ac:dyDescent="0.25">
      <c r="A30" s="1"/>
      <c r="B30" s="101" t="s">
        <v>260</v>
      </c>
      <c r="C30" s="102"/>
      <c r="D30" s="102"/>
      <c r="E30" s="102"/>
      <c r="F30" s="103"/>
      <c r="G30" s="1"/>
    </row>
    <row r="31" spans="1:7" x14ac:dyDescent="0.25">
      <c r="A31" s="1"/>
      <c r="B31" s="122" t="s">
        <v>117</v>
      </c>
      <c r="C31" s="123"/>
      <c r="D31" s="124"/>
      <c r="E31" s="63">
        <f>IF(AND(E9&gt;0,(E9+E23)&gt;0),0,IF(AND(E9&gt;0,(E9+E23)&lt;0),(E9+E23),IF(AND(E9&lt;0,E23&lt;0),E23,0)))</f>
        <v>0</v>
      </c>
      <c r="F31" s="14" t="s">
        <v>3</v>
      </c>
      <c r="G31" s="1"/>
    </row>
    <row r="32" spans="1:7" x14ac:dyDescent="0.25">
      <c r="A32" s="1"/>
      <c r="B32" s="122" t="s">
        <v>85</v>
      </c>
      <c r="C32" s="123"/>
      <c r="D32" s="124"/>
      <c r="E32" s="9">
        <v>2</v>
      </c>
      <c r="F32" s="14" t="s">
        <v>18</v>
      </c>
      <c r="G32" s="1"/>
    </row>
    <row r="33" spans="1:7" x14ac:dyDescent="0.25">
      <c r="A33" s="1"/>
      <c r="B33" s="125" t="s">
        <v>116</v>
      </c>
      <c r="C33" s="125"/>
      <c r="D33" s="125"/>
      <c r="E33" s="62">
        <f>E31/E32</f>
        <v>0</v>
      </c>
      <c r="F33" s="17" t="s">
        <v>3</v>
      </c>
      <c r="G33" s="1"/>
    </row>
    <row r="34" spans="1:7" x14ac:dyDescent="0.25">
      <c r="A34" s="1"/>
      <c r="B34" s="126"/>
      <c r="C34" s="127"/>
      <c r="D34" s="127"/>
      <c r="E34" s="127"/>
      <c r="F34" s="12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IVd/VXjtBvnNr2cKNXnNcwUoMzyl9zJEpnu3sL7KDuS4KiDTCoW63hITowHPwB/bNyqsf5/ArHDs75mFwbVSeQ==" saltValue="l10PF/hpjgsrnfLiMX3sFg==" spinCount="100000" sheet="1" objects="1" scenarios="1"/>
  <mergeCells count="16">
    <mergeCell ref="B31:D31"/>
    <mergeCell ref="B32:D32"/>
    <mergeCell ref="B33:D33"/>
    <mergeCell ref="B34:F34"/>
    <mergeCell ref="B15:D15"/>
    <mergeCell ref="B17:F17"/>
    <mergeCell ref="B26:F26"/>
    <mergeCell ref="B27:D27"/>
    <mergeCell ref="B28:F28"/>
    <mergeCell ref="B30:F30"/>
    <mergeCell ref="B14:D14"/>
    <mergeCell ref="B3:F4"/>
    <mergeCell ref="B8:F8"/>
    <mergeCell ref="B9:D9"/>
    <mergeCell ref="B11:F11"/>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1" t="s">
        <v>184</v>
      </c>
      <c r="C8" s="102"/>
      <c r="D8" s="102"/>
      <c r="E8" s="102"/>
      <c r="F8" s="102"/>
      <c r="G8" s="102"/>
      <c r="H8" s="103"/>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c r="H10" s="9" t="s">
        <v>3</v>
      </c>
      <c r="I10" s="1"/>
    </row>
    <row r="11" spans="1:9" x14ac:dyDescent="0.25">
      <c r="A11" s="1"/>
      <c r="B11" s="135" t="s">
        <v>186</v>
      </c>
      <c r="C11" s="136"/>
      <c r="D11" s="136"/>
      <c r="E11" s="136"/>
      <c r="F11" s="137"/>
      <c r="G11" s="45"/>
      <c r="H11" s="9" t="s">
        <v>3</v>
      </c>
      <c r="I11" s="1"/>
    </row>
    <row r="12" spans="1:9" x14ac:dyDescent="0.25">
      <c r="A12" s="1"/>
      <c r="B12" s="135" t="s">
        <v>187</v>
      </c>
      <c r="C12" s="136"/>
      <c r="D12" s="136"/>
      <c r="E12" s="136"/>
      <c r="F12" s="137"/>
      <c r="G12" s="9"/>
      <c r="H12" s="9" t="s">
        <v>3</v>
      </c>
      <c r="I12" s="1"/>
    </row>
    <row r="13" spans="1:9" x14ac:dyDescent="0.25">
      <c r="A13" s="1"/>
      <c r="B13" s="135" t="s">
        <v>188</v>
      </c>
      <c r="C13" s="136"/>
      <c r="D13" s="136"/>
      <c r="E13" s="136"/>
      <c r="F13" s="137"/>
      <c r="G13" s="9"/>
      <c r="H13" s="9" t="s">
        <v>3</v>
      </c>
      <c r="I13" s="1"/>
    </row>
    <row r="14" spans="1:9" x14ac:dyDescent="0.25">
      <c r="A14" s="1"/>
      <c r="B14" s="135" t="s">
        <v>189</v>
      </c>
      <c r="C14" s="136"/>
      <c r="D14" s="136"/>
      <c r="E14" s="136"/>
      <c r="F14" s="137"/>
      <c r="G14" s="9"/>
      <c r="H14" s="9" t="s">
        <v>3</v>
      </c>
      <c r="I14" s="1"/>
    </row>
    <row r="15" spans="1:9" x14ac:dyDescent="0.25">
      <c r="A15" s="1"/>
      <c r="B15" s="135" t="s">
        <v>190</v>
      </c>
      <c r="C15" s="136"/>
      <c r="D15" s="136"/>
      <c r="E15" s="136"/>
      <c r="F15" s="137"/>
      <c r="G15" s="9"/>
      <c r="H15" s="9" t="s">
        <v>3</v>
      </c>
      <c r="I15" s="1"/>
    </row>
    <row r="16" spans="1:9" x14ac:dyDescent="0.25">
      <c r="A16" s="1"/>
      <c r="B16" s="135" t="s">
        <v>191</v>
      </c>
      <c r="C16" s="136"/>
      <c r="D16" s="136"/>
      <c r="E16" s="136"/>
      <c r="F16" s="137"/>
      <c r="G16" s="9"/>
      <c r="H16" s="9" t="s">
        <v>3</v>
      </c>
      <c r="I16" s="1"/>
    </row>
    <row r="17" spans="1:9" x14ac:dyDescent="0.25">
      <c r="A17" s="1"/>
      <c r="B17" s="135" t="s">
        <v>192</v>
      </c>
      <c r="C17" s="136"/>
      <c r="D17" s="136"/>
      <c r="E17" s="136"/>
      <c r="F17" s="137"/>
      <c r="G17" s="9"/>
      <c r="H17" s="9" t="s">
        <v>3</v>
      </c>
      <c r="I17" s="1"/>
    </row>
    <row r="18" spans="1:9" x14ac:dyDescent="0.25">
      <c r="A18" s="1"/>
      <c r="B18" s="101" t="s">
        <v>193</v>
      </c>
      <c r="C18" s="102"/>
      <c r="D18" s="102"/>
      <c r="E18" s="102"/>
      <c r="F18" s="10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2hp6Cb6jhsD09Igc9fJIfUTSuvX11SFVPRFsz0KBaRBgOVGf8j1k0Nr5Ogc8wvfezCet+XyN/U6hPTZ0KiibQg==" saltValue="xzCGQsvUZunhSYehdvkCDw=="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1" t="s">
        <v>155</v>
      </c>
      <c r="C8" s="102"/>
      <c r="D8" s="102"/>
      <c r="E8" s="102"/>
      <c r="F8" s="102"/>
      <c r="G8" s="102"/>
      <c r="H8" s="102"/>
      <c r="I8" s="102"/>
      <c r="J8" s="102"/>
      <c r="K8" s="103"/>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cm6iFYCY5p/RjxYJMu6rwdtY8hk44HNGVilkeQCFJDxr3UeePdQhSy6hpFGA5PkA6k1a/HkaOqWQGIFJvL+QgA==" saltValue="45LkabgBNb6zqqBJ3zPDI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3" t="s">
        <v>261</v>
      </c>
      <c r="C11" s="21">
        <v>0</v>
      </c>
      <c r="D11" s="14" t="s">
        <v>3</v>
      </c>
      <c r="E11" s="9">
        <v>42683</v>
      </c>
      <c r="F11" s="14" t="s">
        <v>3</v>
      </c>
      <c r="G11" s="1"/>
    </row>
    <row r="12" spans="1:7" x14ac:dyDescent="0.25">
      <c r="A12" s="1"/>
      <c r="B12" s="27" t="s">
        <v>246</v>
      </c>
      <c r="C12" s="21">
        <v>348584</v>
      </c>
      <c r="D12" s="14" t="s">
        <v>3</v>
      </c>
      <c r="E12" s="9">
        <v>215278</v>
      </c>
      <c r="F12" s="14" t="s">
        <v>3</v>
      </c>
      <c r="G12" s="1"/>
    </row>
    <row r="13" spans="1:7" x14ac:dyDescent="0.25">
      <c r="A13" s="1"/>
      <c r="B13" s="27" t="s">
        <v>247</v>
      </c>
      <c r="C13" s="21">
        <v>221216</v>
      </c>
      <c r="D13" s="14" t="s">
        <v>3</v>
      </c>
      <c r="E13" s="9">
        <v>19365</v>
      </c>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27"/>
      <c r="C17" s="21"/>
      <c r="D17" s="14" t="s">
        <v>3</v>
      </c>
      <c r="E17" s="9"/>
      <c r="F17" s="14" t="s">
        <v>3</v>
      </c>
      <c r="G17" s="1"/>
    </row>
    <row r="18" spans="1:7" x14ac:dyDescent="0.25">
      <c r="A18" s="1"/>
      <c r="B18" s="52" t="s">
        <v>151</v>
      </c>
      <c r="C18" s="12">
        <f>SUM(C10:C17)</f>
        <v>569800</v>
      </c>
      <c r="D18" s="13" t="s">
        <v>3</v>
      </c>
      <c r="E18" s="12">
        <f>SUM(E10:E17)</f>
        <v>277326</v>
      </c>
      <c r="F18" s="13" t="s">
        <v>3</v>
      </c>
      <c r="G18" s="1"/>
    </row>
    <row r="19" spans="1:7" x14ac:dyDescent="0.25">
      <c r="A19" s="1"/>
      <c r="B19" s="52" t="s">
        <v>209</v>
      </c>
      <c r="C19" s="12">
        <f>C18*(1+'Fane 13. Nøgletal'!C16)</f>
        <v>615839.84</v>
      </c>
      <c r="D19" s="13" t="s">
        <v>3</v>
      </c>
      <c r="E19" s="12">
        <f>E18*(1+'Fane 13. Nøgletal'!C16)</f>
        <v>299733.94079999998</v>
      </c>
      <c r="F19" s="13" t="s">
        <v>3</v>
      </c>
      <c r="G19" s="1"/>
    </row>
    <row r="20" spans="1:7" x14ac:dyDescent="0.25">
      <c r="A20" s="1"/>
      <c r="B20" s="1"/>
      <c r="C20" s="1" t="s">
        <v>168</v>
      </c>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haJPy3dHrlSjJsOujxEhY3vfGlsC+7BSG0S36AUnsPETmM81z18v6suePgnu1J8e36zVP7wa2sR2zHGojjt/WA==" saltValue="vZmbx6+KQ8OwYgVI+g0Ud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1" t="s">
        <v>217</v>
      </c>
      <c r="C9" s="102"/>
      <c r="D9" s="102"/>
      <c r="E9" s="102"/>
      <c r="F9" s="103"/>
      <c r="G9" s="1"/>
    </row>
    <row r="10" spans="1:7" ht="26.25" x14ac:dyDescent="0.25">
      <c r="A10" s="1"/>
      <c r="B10" s="76" t="s">
        <v>15</v>
      </c>
      <c r="C10" s="76" t="s">
        <v>10</v>
      </c>
      <c r="D10" s="77"/>
      <c r="E10" s="76" t="s">
        <v>27</v>
      </c>
      <c r="F10" s="30"/>
      <c r="G10" s="1"/>
    </row>
    <row r="11" spans="1:7" x14ac:dyDescent="0.25">
      <c r="A11" s="1"/>
      <c r="B11" s="23"/>
      <c r="C11" s="21"/>
      <c r="D11" s="14" t="s">
        <v>3</v>
      </c>
      <c r="E11" s="9">
        <v>0</v>
      </c>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7ciD4+MCJt//90ONJavun6Mp2ODjU8piz/q5mgZnTC87a3jsPsS78DX0LU1BKVbMHxDOB/q6VIQsXNninHIArg==" saltValue="DyaZ56LUy+L/bNW3XcmXMA=="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1" t="s">
        <v>104</v>
      </c>
      <c r="C8" s="102"/>
      <c r="D8" s="102"/>
      <c r="E8" s="102"/>
      <c r="F8" s="103"/>
      <c r="G8" s="1"/>
    </row>
    <row r="9" spans="1:7" ht="15" customHeight="1" x14ac:dyDescent="0.25">
      <c r="A9" s="1"/>
      <c r="B9" s="54" t="s">
        <v>105</v>
      </c>
      <c r="C9" s="132" t="s">
        <v>10</v>
      </c>
      <c r="D9" s="134"/>
      <c r="E9" s="132" t="s">
        <v>27</v>
      </c>
      <c r="F9" s="134"/>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vREyE9s6wPHh+nusDekIrxMf7n8GO3sb5xv1YNYg61dr/0GeBgGXnFbk5qClncddfQlnjzv2ydwbn6VX9JUglg==" saltValue="lkWr57e1prjzz/zx9jEST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1" t="s">
        <v>237</v>
      </c>
      <c r="C10" s="102"/>
      <c r="D10" s="102"/>
      <c r="E10" s="102"/>
      <c r="F10" s="103"/>
      <c r="G10" s="1"/>
    </row>
    <row r="11" spans="1:7" ht="26.25"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0bTyUGBq15BQDpDfjM7qgkHFSb6yqVHHqB3xXabYBmQVyZxLL8WJRYPT55o7jES/PVbET3khQt4t+mWzCR3KAA==" saltValue="mEd/ah8CmYRhIX844fe7uQ=="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1"/>
      <c r="C17" s="103"/>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8"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trbyy/RiRJwDe/eiNKnhyDUyvfU3tM/ePDumNOkZCk9T6unFV3hT2p7kT36ToLH5++OBcrobJ7Qun1bJ36S/w==" saltValue="Vl3OL5XpPgAtBCsFTJO/s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27007718.157627519</v>
      </c>
      <c r="D8" s="8" t="s">
        <v>3</v>
      </c>
      <c r="E8" s="1"/>
    </row>
    <row r="9" spans="1:5" ht="17.100000000000001" customHeight="1" x14ac:dyDescent="0.25">
      <c r="A9" s="1"/>
      <c r="B9" s="24" t="s">
        <v>33</v>
      </c>
      <c r="C9" s="7">
        <f>'Fane 10.1. Varige tillæg'!C19</f>
        <v>615839.84</v>
      </c>
      <c r="D9" s="8" t="s">
        <v>3</v>
      </c>
      <c r="E9" s="1"/>
    </row>
    <row r="10" spans="1:5" ht="17.100000000000001" customHeight="1" x14ac:dyDescent="0.25">
      <c r="A10" s="1"/>
      <c r="B10" s="24" t="s">
        <v>34</v>
      </c>
      <c r="C10" s="9">
        <f>'Fane 10.1. Varige tillæg'!E19</f>
        <v>299733.94079999998</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1035453.1279001796</v>
      </c>
      <c r="D15" s="8" t="s">
        <v>3</v>
      </c>
      <c r="E15" s="1"/>
    </row>
    <row r="16" spans="1:5" ht="17.100000000000001" customHeight="1" x14ac:dyDescent="0.25">
      <c r="A16" s="1"/>
      <c r="B16" s="24" t="s">
        <v>9</v>
      </c>
      <c r="C16" s="9">
        <f>-SUM(C8,C9:C15)*'Fane 5. Individuelt eff. krav'!G9</f>
        <v>-579174.90132655401</v>
      </c>
      <c r="D16" s="8" t="s">
        <v>3</v>
      </c>
      <c r="E16" s="1"/>
    </row>
    <row r="17" spans="1:5" ht="17.100000000000001" customHeight="1" x14ac:dyDescent="0.25">
      <c r="A17" s="1"/>
      <c r="B17" s="24" t="s">
        <v>22</v>
      </c>
      <c r="C17" s="9">
        <f>-'Fane 4.1. Gen. krav - drift'!G49</f>
        <v>-339329.71009551937</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28040240.454905622</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14930179.223859198</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10">
        <f>SUM(C23:C26)</f>
        <v>0</v>
      </c>
      <c r="D27" s="11" t="s">
        <v>3</v>
      </c>
      <c r="E27" s="1"/>
    </row>
    <row r="28" spans="1:5" ht="15" customHeight="1" x14ac:dyDescent="0.25">
      <c r="A28" s="1"/>
      <c r="B28" s="26" t="s">
        <v>117</v>
      </c>
      <c r="C28" s="53"/>
      <c r="D28" s="19"/>
      <c r="E28" s="1"/>
    </row>
    <row r="29" spans="1:5" x14ac:dyDescent="0.25">
      <c r="A29" s="1"/>
      <c r="B29" s="72" t="s">
        <v>118</v>
      </c>
      <c r="C29" s="10">
        <f>'Fane 7. Kontrol af ØR2022'!E27</f>
        <v>-598175</v>
      </c>
      <c r="D29" s="11" t="s">
        <v>3</v>
      </c>
      <c r="E29" s="1"/>
    </row>
    <row r="30" spans="1:5" x14ac:dyDescent="0.25">
      <c r="A30" s="1"/>
      <c r="B30" s="26" t="s">
        <v>138</v>
      </c>
      <c r="C30" s="53"/>
      <c r="D30" s="19"/>
      <c r="E30" s="1"/>
    </row>
    <row r="31" spans="1:5" x14ac:dyDescent="0.25">
      <c r="A31" s="1"/>
      <c r="B31" s="72" t="s">
        <v>139</v>
      </c>
      <c r="C31" s="10">
        <f>'Fane 8. Skattesagen'!G13</f>
        <v>0</v>
      </c>
      <c r="D31" s="11" t="s">
        <v>3</v>
      </c>
      <c r="E31" s="1"/>
    </row>
    <row r="32" spans="1:5" x14ac:dyDescent="0.25">
      <c r="A32" s="1"/>
      <c r="B32" s="26" t="s">
        <v>262</v>
      </c>
      <c r="C32" s="53"/>
      <c r="D32" s="19"/>
      <c r="E32" s="1"/>
    </row>
    <row r="33" spans="1:5" x14ac:dyDescent="0.25">
      <c r="A33" s="1"/>
      <c r="B33" s="72" t="s">
        <v>263</v>
      </c>
      <c r="C33" s="10">
        <v>351265.3358112243</v>
      </c>
      <c r="D33" s="11" t="s">
        <v>3</v>
      </c>
      <c r="E33" s="1"/>
    </row>
    <row r="34" spans="1:5" x14ac:dyDescent="0.25">
      <c r="A34" s="1"/>
      <c r="B34" s="52" t="s">
        <v>126</v>
      </c>
      <c r="C34" s="33">
        <f>SUM(C19,C21,C27,C29,C31,C33)</f>
        <v>42723510.014576048</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J0/PhLu51NQkALEaKytBmERVx6bVJ2z44DcadAXSxA1gqSeVrwkREFSA6UnYaprlmbz63Lvg8k9iGFJT77pdHQ==" saltValue="jlXmOCtK5N3Tf6jmbLpow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28040240.454905622</v>
      </c>
      <c r="D8" s="8" t="s">
        <v>3</v>
      </c>
      <c r="E8" s="1"/>
    </row>
    <row r="9" spans="1:5" ht="15" customHeight="1" x14ac:dyDescent="0.25">
      <c r="A9" s="1"/>
      <c r="B9" s="29" t="s">
        <v>17</v>
      </c>
      <c r="C9" s="9">
        <f>SUM(C8:C8)*'Fane 13. Nøgletal'!C16</f>
        <v>2265651.4287563739</v>
      </c>
      <c r="D9" s="8" t="s">
        <v>3</v>
      </c>
      <c r="E9" s="1"/>
    </row>
    <row r="10" spans="1:5" ht="15" customHeight="1" x14ac:dyDescent="0.25">
      <c r="A10" s="1"/>
      <c r="B10" s="29" t="s">
        <v>9</v>
      </c>
      <c r="C10" s="9">
        <f>-SUM(C8:C9)*'Fane 5. Individuelt eff. krav'!G9</f>
        <v>-606117.83767323999</v>
      </c>
      <c r="D10" s="8" t="s">
        <v>3</v>
      </c>
      <c r="E10" s="1"/>
    </row>
    <row r="11" spans="1:5" ht="15" customHeight="1" x14ac:dyDescent="0.25">
      <c r="A11" s="1"/>
      <c r="B11" s="29" t="s">
        <v>22</v>
      </c>
      <c r="C11" s="9">
        <f>-'Fane 4.1. Gen. krav - drift'!G54</f>
        <v>-359412.59965781256</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29340361.446330946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16136537.705147021</v>
      </c>
      <c r="D15" s="11" t="s">
        <v>3</v>
      </c>
      <c r="E15" s="1"/>
    </row>
    <row r="16" spans="1:5" x14ac:dyDescent="0.25">
      <c r="A16" s="1"/>
      <c r="B16" s="26" t="s">
        <v>117</v>
      </c>
      <c r="C16" s="53"/>
      <c r="D16" s="19"/>
      <c r="E16" s="1"/>
    </row>
    <row r="17" spans="1:5" ht="15" customHeight="1" x14ac:dyDescent="0.25">
      <c r="A17" s="1"/>
      <c r="B17" s="72" t="s">
        <v>118</v>
      </c>
      <c r="C17" s="10">
        <f>'Fane 7. Kontrol af ØR2022'!E33</f>
        <v>0</v>
      </c>
      <c r="D17" s="11" t="s">
        <v>3</v>
      </c>
      <c r="E17" s="1"/>
    </row>
    <row r="18" spans="1:5" x14ac:dyDescent="0.25">
      <c r="A18" s="1"/>
      <c r="B18" s="26" t="s">
        <v>138</v>
      </c>
      <c r="C18" s="53"/>
      <c r="D18" s="19"/>
      <c r="E18" s="1"/>
    </row>
    <row r="19" spans="1:5" x14ac:dyDescent="0.25">
      <c r="A19" s="1"/>
      <c r="B19" s="72" t="s">
        <v>139</v>
      </c>
      <c r="C19" s="10">
        <f>'Fane 8. Skattesagen'!G13</f>
        <v>0</v>
      </c>
      <c r="D19" s="11" t="s">
        <v>3</v>
      </c>
      <c r="E19" s="1"/>
    </row>
    <row r="20" spans="1:5" x14ac:dyDescent="0.25">
      <c r="A20" s="1"/>
      <c r="B20" s="52" t="s">
        <v>128</v>
      </c>
      <c r="C20" s="12">
        <f>SUM(C13,C15,C17,C19)</f>
        <v>45476899.151477963</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epj+xvLk0AbehdAUX7QNWW23P8anLnpVL9P4cyZif01w0qFjr9K5+wDjsdalerZSk/xNw+YZg8+s7UFz5qFWdw==" saltValue="h7MW5kJwQCxTMF2qumxyV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29340361.446330946</v>
      </c>
      <c r="D8" s="8" t="s">
        <v>3</v>
      </c>
      <c r="E8" s="1"/>
    </row>
    <row r="9" spans="1:5" ht="15" customHeight="1" x14ac:dyDescent="0.25">
      <c r="A9" s="1"/>
      <c r="B9" s="29" t="s">
        <v>17</v>
      </c>
      <c r="C9" s="9">
        <f>SUM(C8:C8)*'Fane 13. Nøgletal'!C16</f>
        <v>2370701.2048635404</v>
      </c>
      <c r="D9" s="8" t="s">
        <v>3</v>
      </c>
      <c r="E9" s="1"/>
    </row>
    <row r="10" spans="1:5" ht="15" customHeight="1" x14ac:dyDescent="0.25">
      <c r="A10" s="1"/>
      <c r="B10" s="29" t="s">
        <v>9</v>
      </c>
      <c r="C10" s="9">
        <f>-SUM(C8:C9)*'Fane 5. Individuelt eff. krav'!G9</f>
        <v>-634221.25302388973</v>
      </c>
      <c r="D10" s="8" t="s">
        <v>3</v>
      </c>
      <c r="E10" s="1"/>
    </row>
    <row r="11" spans="1:5" ht="15" customHeight="1" x14ac:dyDescent="0.25">
      <c r="A11" s="1"/>
      <c r="B11" s="29" t="s">
        <v>22</v>
      </c>
      <c r="C11" s="9">
        <f>-'Fane 4.1. Gen. krav - drift'!G59</f>
        <v>-380684.07495596062</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30696157.323214639</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17440369.951722901</v>
      </c>
      <c r="D15" s="11" t="s">
        <v>3</v>
      </c>
      <c r="E15" s="1"/>
    </row>
    <row r="16" spans="1:5" x14ac:dyDescent="0.25">
      <c r="A16" s="1"/>
      <c r="B16" s="52" t="s">
        <v>117</v>
      </c>
      <c r="C16" s="53"/>
      <c r="D16" s="19"/>
      <c r="E16" s="1"/>
    </row>
    <row r="17" spans="1:5" x14ac:dyDescent="0.25">
      <c r="A17" s="1"/>
      <c r="B17" s="54" t="s">
        <v>118</v>
      </c>
      <c r="C17" s="10">
        <f>'Fane 7. Kontrol af ØR2022'!E33</f>
        <v>0</v>
      </c>
      <c r="D17" s="11" t="s">
        <v>3</v>
      </c>
      <c r="E17" s="1"/>
    </row>
    <row r="18" spans="1:5" ht="15" customHeight="1" x14ac:dyDescent="0.25">
      <c r="A18" s="1"/>
      <c r="B18" s="26" t="s">
        <v>138</v>
      </c>
      <c r="C18" s="53"/>
      <c r="D18" s="19"/>
      <c r="E18" s="1"/>
    </row>
    <row r="19" spans="1:5" ht="15" customHeight="1" x14ac:dyDescent="0.25">
      <c r="A19" s="1"/>
      <c r="B19" s="72" t="s">
        <v>139</v>
      </c>
      <c r="C19" s="10">
        <f>'Fane 8. Skattesagen'!G14</f>
        <v>0</v>
      </c>
      <c r="D19" s="11" t="s">
        <v>3</v>
      </c>
      <c r="E19" s="1"/>
    </row>
    <row r="20" spans="1:5" x14ac:dyDescent="0.25">
      <c r="A20" s="1"/>
      <c r="B20" s="52" t="s">
        <v>143</v>
      </c>
      <c r="C20" s="12">
        <f>SUM(C13,C15,C17,C19)</f>
        <v>48136527.27493754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KVe2Wy1bkB05aa5E7PgmMPMinnm5lnzInGhJwYupX++Qjjzg/kf8DPcNBVlOQH5gwP8mi4O8z3Se/KfUWg0RgA==" saltValue="qMtvbj4sF2hSCz32+EpHe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30696157.323214639</v>
      </c>
      <c r="D8" s="8" t="s">
        <v>3</v>
      </c>
      <c r="E8" s="1"/>
    </row>
    <row r="9" spans="1:5" ht="15" customHeight="1" x14ac:dyDescent="0.25">
      <c r="A9" s="1"/>
      <c r="B9" s="29" t="s">
        <v>17</v>
      </c>
      <c r="C9" s="9">
        <f>SUM(C8:C8)*'Fane 13. Nøgletal'!C16</f>
        <v>2480249.5117157428</v>
      </c>
      <c r="D9" s="8" t="s">
        <v>3</v>
      </c>
      <c r="E9" s="1"/>
    </row>
    <row r="10" spans="1:5" ht="15" customHeight="1" x14ac:dyDescent="0.25">
      <c r="A10" s="1"/>
      <c r="B10" s="29" t="s">
        <v>9</v>
      </c>
      <c r="C10" s="9">
        <f>-SUM(C8:C9)*'Fane 5. Individuelt eff. krav'!G9</f>
        <v>-663528.1366986077</v>
      </c>
      <c r="D10" s="8" t="s">
        <v>3</v>
      </c>
      <c r="E10" s="1"/>
    </row>
    <row r="11" spans="1:5" ht="15" customHeight="1" x14ac:dyDescent="0.25">
      <c r="A11" s="1"/>
      <c r="B11" s="29" t="s">
        <v>22</v>
      </c>
      <c r="C11" s="9">
        <f>-'Fane 4.1. Gen. krav - drift'!G64</f>
        <v>-403214.48124815419</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32109664.21698362</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18849551.84382211</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2" t="s">
        <v>139</v>
      </c>
      <c r="C19" s="10">
        <f>'Fane 8. Skattesagen'!G15</f>
        <v>0</v>
      </c>
      <c r="D19" s="11" t="s">
        <v>3</v>
      </c>
      <c r="E19" s="1"/>
    </row>
    <row r="20" spans="1:5" x14ac:dyDescent="0.25">
      <c r="A20" s="1"/>
      <c r="B20" s="52" t="s">
        <v>205</v>
      </c>
      <c r="C20" s="12">
        <f>SUM(C13,C15,C17,C19)</f>
        <v>50959216.060805731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eEiLMsG2X7BcfAnZc0dm0pHryuta33fimhWHxcz114lqFbwgbr8wAZq8n3xbDM3voOKcEJTTLmdDBvT5yRQ0VA==" saltValue="TKCKKoaZS57WKGih34YmE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26647279.772743173</v>
      </c>
      <c r="D8" s="8" t="s">
        <v>3</v>
      </c>
      <c r="E8" s="1"/>
    </row>
    <row r="9" spans="1:5" x14ac:dyDescent="0.25">
      <c r="A9" s="1"/>
      <c r="B9" s="24" t="s">
        <v>33</v>
      </c>
      <c r="C9" s="7">
        <v>257798.12160000001</v>
      </c>
      <c r="D9" s="8" t="s">
        <v>3</v>
      </c>
      <c r="E9" s="1"/>
    </row>
    <row r="10" spans="1:5" x14ac:dyDescent="0.25">
      <c r="A10" s="1"/>
      <c r="B10" s="24" t="s">
        <v>34</v>
      </c>
      <c r="C10" s="9">
        <v>22970.643600000003</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958638.52795077686</v>
      </c>
      <c r="D15" s="8" t="s">
        <v>3</v>
      </c>
      <c r="E15" s="1"/>
    </row>
    <row r="16" spans="1:5" x14ac:dyDescent="0.25">
      <c r="A16" s="1"/>
      <c r="B16" s="24" t="s">
        <v>9</v>
      </c>
      <c r="C16" s="9">
        <v>-557733.74131787894</v>
      </c>
      <c r="D16" s="8" t="s">
        <v>3</v>
      </c>
      <c r="E16" s="1"/>
    </row>
    <row r="17" spans="1:5" x14ac:dyDescent="0.25">
      <c r="A17" s="1"/>
      <c r="B17" s="24" t="s">
        <v>22</v>
      </c>
      <c r="C17" s="9">
        <v>-321235.16694854933</v>
      </c>
      <c r="D17" s="8" t="s">
        <v>3</v>
      </c>
      <c r="E17" s="1"/>
    </row>
    <row r="18" spans="1:5" x14ac:dyDescent="0.25">
      <c r="A18" s="1"/>
      <c r="B18" s="24" t="s">
        <v>23</v>
      </c>
      <c r="C18" s="9">
        <v>0</v>
      </c>
      <c r="D18" s="8" t="s">
        <v>3</v>
      </c>
      <c r="E18" s="1"/>
    </row>
    <row r="19" spans="1:5" x14ac:dyDescent="0.25">
      <c r="A19" s="1"/>
      <c r="B19" s="73" t="s">
        <v>19</v>
      </c>
      <c r="C19" s="10">
        <v>27007718.157627519</v>
      </c>
      <c r="D19" s="11" t="s">
        <v>3</v>
      </c>
      <c r="E19" s="1"/>
    </row>
    <row r="20" spans="1:5" x14ac:dyDescent="0.25">
      <c r="A20" s="1"/>
      <c r="B20" s="52" t="s">
        <v>11</v>
      </c>
      <c r="C20" s="53"/>
      <c r="D20" s="19"/>
      <c r="E20" s="1"/>
    </row>
    <row r="21" spans="1:5" x14ac:dyDescent="0.25">
      <c r="A21" s="1"/>
      <c r="B21" s="54" t="s">
        <v>11</v>
      </c>
      <c r="C21" s="10">
        <v>14433342.169918617</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7">
        <v>0</v>
      </c>
      <c r="D27" s="11" t="s">
        <v>3</v>
      </c>
      <c r="E27" s="1"/>
    </row>
    <row r="28" spans="1:5" x14ac:dyDescent="0.25">
      <c r="A28" s="1"/>
      <c r="B28" s="26" t="s">
        <v>117</v>
      </c>
      <c r="C28" s="53"/>
      <c r="D28" s="19"/>
      <c r="E28" s="1"/>
    </row>
    <row r="29" spans="1:5" x14ac:dyDescent="0.25">
      <c r="A29" s="1"/>
      <c r="B29" s="72" t="s">
        <v>118</v>
      </c>
      <c r="C29" s="10">
        <v>-852767.02535772696</v>
      </c>
      <c r="D29" s="11" t="s">
        <v>3</v>
      </c>
      <c r="E29" s="1"/>
    </row>
    <row r="30" spans="1:5" x14ac:dyDescent="0.25">
      <c r="A30" s="1"/>
      <c r="B30" s="26" t="s">
        <v>138</v>
      </c>
      <c r="C30" s="53"/>
      <c r="D30" s="19"/>
      <c r="E30" s="1"/>
    </row>
    <row r="31" spans="1:5" x14ac:dyDescent="0.25">
      <c r="A31" s="1"/>
      <c r="B31" s="72" t="s">
        <v>139</v>
      </c>
      <c r="C31" s="10">
        <v>0</v>
      </c>
      <c r="D31" s="11" t="s">
        <v>3</v>
      </c>
      <c r="E31" s="1"/>
    </row>
    <row r="32" spans="1:5" x14ac:dyDescent="0.25">
      <c r="A32" s="1"/>
      <c r="B32" s="52" t="s">
        <v>239</v>
      </c>
      <c r="C32" s="33">
        <v>40588293.302188411</v>
      </c>
      <c r="D32" s="19" t="s">
        <v>3</v>
      </c>
      <c r="E32" s="1"/>
    </row>
    <row r="33" spans="1:5" ht="30" customHeight="1" x14ac:dyDescent="0.25">
      <c r="A33" s="1"/>
      <c r="B33" s="99" t="s">
        <v>240</v>
      </c>
      <c r="C33" s="99"/>
      <c r="D33" s="9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DJm4f4QrcZG1gd10LI2YPF8mzpJiTiIqtb2DFVndAjEmFsTslhqBeugJLJBdSZYdHlq9mAyw2L0vNxHt89dGAA==" saltValue="lOOXvw5mflXS8yBEFtmFlA=="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1" t="s">
        <v>44</v>
      </c>
      <c r="C4" s="102"/>
      <c r="D4" s="102"/>
      <c r="E4" s="102"/>
      <c r="F4" s="102"/>
      <c r="G4" s="102"/>
      <c r="H4" s="103"/>
      <c r="I4" s="1"/>
    </row>
    <row r="5" spans="1:9" x14ac:dyDescent="0.25">
      <c r="A5" s="1"/>
      <c r="B5" s="104" t="s">
        <v>36</v>
      </c>
      <c r="C5" s="105"/>
      <c r="D5" s="105"/>
      <c r="E5" s="105"/>
      <c r="F5" s="106"/>
      <c r="G5" s="47">
        <v>11764981.248599412</v>
      </c>
      <c r="H5" s="14" t="s">
        <v>3</v>
      </c>
      <c r="I5" s="1"/>
    </row>
    <row r="6" spans="1:9" x14ac:dyDescent="0.25">
      <c r="A6" s="1"/>
      <c r="B6" s="104" t="s">
        <v>37</v>
      </c>
      <c r="C6" s="105"/>
      <c r="D6" s="105"/>
      <c r="E6" s="105"/>
      <c r="F6" s="106"/>
      <c r="G6" s="22">
        <f>G5*'Fane 13. Nøgletal'!C33</f>
        <v>235299.62497198823</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1" t="s">
        <v>45</v>
      </c>
      <c r="C9" s="102"/>
      <c r="D9" s="102"/>
      <c r="E9" s="102"/>
      <c r="F9" s="102"/>
      <c r="G9" s="102"/>
      <c r="H9" s="103"/>
      <c r="I9" s="1"/>
    </row>
    <row r="10" spans="1:9" x14ac:dyDescent="0.25">
      <c r="A10" s="1"/>
      <c r="B10" s="104" t="s">
        <v>38</v>
      </c>
      <c r="C10" s="105"/>
      <c r="D10" s="105"/>
      <c r="E10" s="105"/>
      <c r="F10" s="106"/>
      <c r="G10" s="22">
        <f>(G5-G6)*(1+'Fane 13. Nøgletal'!C9)</f>
        <v>11676108.580247492</v>
      </c>
      <c r="H10" s="14" t="s">
        <v>3</v>
      </c>
      <c r="I10" s="1"/>
    </row>
    <row r="11" spans="1:9" x14ac:dyDescent="0.25">
      <c r="A11" s="1"/>
      <c r="B11" s="107" t="s">
        <v>228</v>
      </c>
      <c r="C11" s="108"/>
      <c r="D11" s="108"/>
      <c r="E11" s="108"/>
      <c r="F11" s="109"/>
      <c r="G11" s="47">
        <v>0</v>
      </c>
      <c r="H11" s="14" t="s">
        <v>3</v>
      </c>
      <c r="I11" s="1"/>
    </row>
    <row r="12" spans="1:9" x14ac:dyDescent="0.25">
      <c r="A12" s="1"/>
      <c r="B12" s="104" t="s">
        <v>39</v>
      </c>
      <c r="C12" s="105"/>
      <c r="D12" s="105"/>
      <c r="E12" s="105"/>
      <c r="F12" s="106"/>
      <c r="G12" s="22">
        <f>(G10+G11)*'Fane 13. Nøgletal'!C33</f>
        <v>233522.17160494984</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1" t="s">
        <v>46</v>
      </c>
      <c r="C15" s="102"/>
      <c r="D15" s="102"/>
      <c r="E15" s="102"/>
      <c r="F15" s="102"/>
      <c r="G15" s="102"/>
      <c r="H15" s="103"/>
      <c r="I15" s="1"/>
    </row>
    <row r="16" spans="1:9" x14ac:dyDescent="0.25">
      <c r="A16" s="1"/>
      <c r="B16" s="104" t="s">
        <v>40</v>
      </c>
      <c r="C16" s="105"/>
      <c r="D16" s="105"/>
      <c r="E16" s="105"/>
      <c r="F16" s="106"/>
      <c r="G16" s="22">
        <f>(G10+G11-G12)*(1+'Fane 13. Nøgletal'!C11)</f>
        <v>11635966.118948599</v>
      </c>
      <c r="H16" s="14" t="s">
        <v>3</v>
      </c>
      <c r="I16" s="1"/>
    </row>
    <row r="17" spans="1:9" x14ac:dyDescent="0.25">
      <c r="A17" s="1"/>
      <c r="B17" s="104" t="s">
        <v>100</v>
      </c>
      <c r="C17" s="105"/>
      <c r="D17" s="105"/>
      <c r="E17" s="105"/>
      <c r="F17" s="106"/>
      <c r="G17" s="47">
        <v>0</v>
      </c>
      <c r="H17" s="14" t="s">
        <v>3</v>
      </c>
      <c r="I17" s="1"/>
    </row>
    <row r="18" spans="1:9" x14ac:dyDescent="0.25">
      <c r="A18" s="1"/>
      <c r="B18" s="107" t="s">
        <v>229</v>
      </c>
      <c r="C18" s="108"/>
      <c r="D18" s="108"/>
      <c r="E18" s="108"/>
      <c r="F18" s="109"/>
      <c r="G18" s="47">
        <v>0</v>
      </c>
      <c r="H18" s="14" t="s">
        <v>3</v>
      </c>
      <c r="I18" s="1"/>
    </row>
    <row r="19" spans="1:9" x14ac:dyDescent="0.25">
      <c r="A19" s="1"/>
      <c r="B19" s="104" t="s">
        <v>41</v>
      </c>
      <c r="C19" s="105"/>
      <c r="D19" s="105"/>
      <c r="E19" s="105"/>
      <c r="F19" s="106"/>
      <c r="G19" s="22">
        <f>SUM(G16:G18)*'Fane 13. Nøgletal'!C33</f>
        <v>232719.32237897199</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1" t="s">
        <v>47</v>
      </c>
      <c r="C22" s="102"/>
      <c r="D22" s="102"/>
      <c r="E22" s="102"/>
      <c r="F22" s="102"/>
      <c r="G22" s="102"/>
      <c r="H22" s="103"/>
      <c r="I22" s="1"/>
    </row>
    <row r="23" spans="1:9" x14ac:dyDescent="0.25">
      <c r="A23" s="1"/>
      <c r="B23" s="104" t="s">
        <v>42</v>
      </c>
      <c r="C23" s="105"/>
      <c r="D23" s="105"/>
      <c r="E23" s="105"/>
      <c r="F23" s="106"/>
      <c r="G23" s="22">
        <f>(SUM(G16:G18)-G19)*(1+'Fane 13. Nøgletal'!C11)</f>
        <v>11595961.667431653</v>
      </c>
      <c r="H23" s="14" t="s">
        <v>3</v>
      </c>
      <c r="I23" s="1"/>
    </row>
    <row r="24" spans="1:9" x14ac:dyDescent="0.25">
      <c r="A24" s="1"/>
      <c r="B24" s="107" t="s">
        <v>230</v>
      </c>
      <c r="C24" s="108"/>
      <c r="D24" s="108"/>
      <c r="E24" s="108"/>
      <c r="F24" s="109"/>
      <c r="G24" s="47">
        <v>99395.42309928</v>
      </c>
      <c r="H24" s="14" t="s">
        <v>3</v>
      </c>
      <c r="I24" s="1"/>
    </row>
    <row r="25" spans="1:9" x14ac:dyDescent="0.25">
      <c r="A25" s="1"/>
      <c r="B25" s="104" t="s">
        <v>43</v>
      </c>
      <c r="C25" s="105"/>
      <c r="D25" s="105"/>
      <c r="E25" s="105"/>
      <c r="F25" s="106"/>
      <c r="G25" s="22">
        <f>(G23+G24)*'Fane 13. Nøgletal'!C33</f>
        <v>233907.14181061863</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1" t="s">
        <v>121</v>
      </c>
      <c r="C28" s="102"/>
      <c r="D28" s="102"/>
      <c r="E28" s="102"/>
      <c r="F28" s="102"/>
      <c r="G28" s="102"/>
      <c r="H28" s="103"/>
      <c r="I28" s="1"/>
    </row>
    <row r="29" spans="1:9" x14ac:dyDescent="0.25">
      <c r="A29" s="1"/>
      <c r="B29" s="104" t="s">
        <v>50</v>
      </c>
      <c r="C29" s="105"/>
      <c r="D29" s="105"/>
      <c r="E29" s="105"/>
      <c r="F29" s="106"/>
      <c r="G29" s="22">
        <f>(G23+G24-G25)*(1+'Fane 13. Nøgletal'!C13)</f>
        <v>11601279.638094701</v>
      </c>
      <c r="H29" s="14" t="s">
        <v>3</v>
      </c>
      <c r="I29" s="1"/>
    </row>
    <row r="30" spans="1:9" x14ac:dyDescent="0.25">
      <c r="A30" s="1"/>
      <c r="B30" s="104" t="s">
        <v>231</v>
      </c>
      <c r="C30" s="105"/>
      <c r="D30" s="105"/>
      <c r="E30" s="105"/>
      <c r="F30" s="106"/>
      <c r="G30" s="47">
        <v>982201.16279628</v>
      </c>
      <c r="H30" s="14" t="s">
        <v>3</v>
      </c>
      <c r="I30" s="1"/>
    </row>
    <row r="31" spans="1:9" x14ac:dyDescent="0.25">
      <c r="A31" s="1"/>
      <c r="B31" s="104" t="s">
        <v>115</v>
      </c>
      <c r="C31" s="105"/>
      <c r="D31" s="105"/>
      <c r="E31" s="105"/>
      <c r="F31" s="106"/>
      <c r="G31" s="22">
        <f>(G29+G30)*'Fane 13. Nøgletal'!C33</f>
        <v>251669.61601781962</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1" t="s">
        <v>122</v>
      </c>
      <c r="C34" s="102"/>
      <c r="D34" s="102"/>
      <c r="E34" s="102"/>
      <c r="F34" s="102"/>
      <c r="G34" s="102"/>
      <c r="H34" s="103"/>
      <c r="I34" s="1"/>
    </row>
    <row r="35" spans="1:9" x14ac:dyDescent="0.25">
      <c r="A35" s="1"/>
      <c r="B35" s="104" t="s">
        <v>69</v>
      </c>
      <c r="C35" s="105"/>
      <c r="D35" s="105"/>
      <c r="E35" s="105"/>
      <c r="F35" s="106"/>
      <c r="G35" s="22">
        <f>(G29+G30-G31)*(1+'Fane 13. Nøgletal'!C13)</f>
        <v>12482259.281328613</v>
      </c>
      <c r="H35" s="14" t="s">
        <v>3</v>
      </c>
      <c r="I35" s="1"/>
    </row>
    <row r="36" spans="1:9" x14ac:dyDescent="0.25">
      <c r="A36" s="1"/>
      <c r="B36" s="104" t="s">
        <v>232</v>
      </c>
      <c r="C36" s="105"/>
      <c r="D36" s="105"/>
      <c r="E36" s="105"/>
      <c r="F36" s="106"/>
      <c r="G36" s="47">
        <v>3080820.2039924306</v>
      </c>
      <c r="H36" s="14" t="s">
        <v>3</v>
      </c>
      <c r="I36" s="1"/>
    </row>
    <row r="37" spans="1:9" x14ac:dyDescent="0.25">
      <c r="A37" s="1"/>
      <c r="B37" s="104" t="s">
        <v>123</v>
      </c>
      <c r="C37" s="105"/>
      <c r="D37" s="105"/>
      <c r="E37" s="105"/>
      <c r="F37" s="106"/>
      <c r="G37" s="22">
        <f>(G35+G36)*'Fane 13. Nøgletal'!C33</f>
        <v>311261.58970642084</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1" t="s">
        <v>157</v>
      </c>
      <c r="C40" s="102"/>
      <c r="D40" s="102"/>
      <c r="E40" s="102"/>
      <c r="F40" s="102"/>
      <c r="G40" s="102"/>
      <c r="H40" s="103"/>
      <c r="I40" s="1"/>
    </row>
    <row r="41" spans="1:9" x14ac:dyDescent="0.25">
      <c r="A41" s="1"/>
      <c r="B41" s="104" t="s">
        <v>68</v>
      </c>
      <c r="C41" s="105"/>
      <c r="D41" s="105"/>
      <c r="E41" s="105"/>
      <c r="F41" s="106"/>
      <c r="G41" s="22">
        <f>(G35+G36-G37)*(1+'Fane 13. Nøgletal'!C15)</f>
        <v>15794782.612698505</v>
      </c>
      <c r="H41" s="14" t="s">
        <v>3</v>
      </c>
      <c r="I41" s="1"/>
    </row>
    <row r="42" spans="1:9" x14ac:dyDescent="0.25">
      <c r="A42" s="1"/>
      <c r="B42" s="104" t="s">
        <v>156</v>
      </c>
      <c r="C42" s="105"/>
      <c r="D42" s="105"/>
      <c r="E42" s="105"/>
      <c r="F42" s="106"/>
      <c r="G42" s="22">
        <v>266975.73472896003</v>
      </c>
      <c r="H42" s="14" t="s">
        <v>3</v>
      </c>
      <c r="I42" s="1"/>
    </row>
    <row r="43" spans="1:9" x14ac:dyDescent="0.25">
      <c r="A43" s="1"/>
      <c r="B43" s="104" t="s">
        <v>166</v>
      </c>
      <c r="C43" s="105"/>
      <c r="D43" s="105"/>
      <c r="E43" s="105"/>
      <c r="F43" s="106"/>
      <c r="G43" s="22">
        <f>(G41+G42)*'Fane 13. Nøgletal'!C33</f>
        <v>321235.16694854933</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1" t="s">
        <v>158</v>
      </c>
      <c r="C46" s="102"/>
      <c r="D46" s="102"/>
      <c r="E46" s="102"/>
      <c r="F46" s="102"/>
      <c r="G46" s="102"/>
      <c r="H46" s="103"/>
      <c r="I46" s="1"/>
    </row>
    <row r="47" spans="1:9" x14ac:dyDescent="0.25">
      <c r="A47" s="1"/>
      <c r="B47" s="104" t="s">
        <v>112</v>
      </c>
      <c r="C47" s="105"/>
      <c r="D47" s="105"/>
      <c r="E47" s="105"/>
      <c r="F47" s="106"/>
      <c r="G47" s="22">
        <f>(G41+G42-G43)*(1+'Fane 13. Nøgletal'!C15)</f>
        <v>16300885.805703966</v>
      </c>
      <c r="H47" s="14" t="s">
        <v>3</v>
      </c>
      <c r="I47" s="1"/>
    </row>
    <row r="48" spans="1:9" x14ac:dyDescent="0.25">
      <c r="A48" s="1"/>
      <c r="B48" s="104" t="s">
        <v>206</v>
      </c>
      <c r="C48" s="105"/>
      <c r="D48" s="105"/>
      <c r="E48" s="105"/>
      <c r="F48" s="106"/>
      <c r="G48" s="22">
        <f>('Fane 2.1. Økonomisk ramme 2024'!C9+'Fane 2.1. Økonomisk ramme 2024'!C11+'Fane 2.1. Økonomisk ramme 2024'!C13)*(1+'Fane 13. Nøgletal'!C16)</f>
        <v>665599.69907199999</v>
      </c>
      <c r="H48" s="14" t="s">
        <v>3</v>
      </c>
      <c r="I48" s="1"/>
    </row>
    <row r="49" spans="1:9" x14ac:dyDescent="0.25">
      <c r="A49" s="1"/>
      <c r="B49" s="104" t="s">
        <v>167</v>
      </c>
      <c r="C49" s="105"/>
      <c r="D49" s="105"/>
      <c r="E49" s="105"/>
      <c r="F49" s="106"/>
      <c r="G49" s="22">
        <f>G47*'Fane 13. Nøgletal'!C33+G48*'Fane 13. Nøgletal'!C33</f>
        <v>339329.71009551937</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1" t="s">
        <v>133</v>
      </c>
      <c r="C52" s="102"/>
      <c r="D52" s="102"/>
      <c r="E52" s="102"/>
      <c r="F52" s="102"/>
      <c r="G52" s="102"/>
      <c r="H52" s="103"/>
      <c r="I52" s="1"/>
    </row>
    <row r="53" spans="1:9" x14ac:dyDescent="0.25">
      <c r="A53" s="1"/>
      <c r="B53" s="104" t="s">
        <v>134</v>
      </c>
      <c r="C53" s="105"/>
      <c r="D53" s="105"/>
      <c r="E53" s="105"/>
      <c r="F53" s="106"/>
      <c r="G53" s="22">
        <f>(G47+G48-G49)*(1+'Fane 13. Nøgletal'!C16)</f>
        <v>17970629.982890628</v>
      </c>
      <c r="H53" s="14" t="s">
        <v>3</v>
      </c>
      <c r="I53" s="1"/>
    </row>
    <row r="54" spans="1:9" x14ac:dyDescent="0.25">
      <c r="A54" s="1"/>
      <c r="B54" s="104" t="s">
        <v>135</v>
      </c>
      <c r="C54" s="105"/>
      <c r="D54" s="105"/>
      <c r="E54" s="105"/>
      <c r="F54" s="106"/>
      <c r="G54" s="22">
        <f>(G53)*'Fane 13. Nøgletal'!C33</f>
        <v>359412.59965781256</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1" t="s">
        <v>144</v>
      </c>
      <c r="C57" s="102"/>
      <c r="D57" s="102"/>
      <c r="E57" s="102"/>
      <c r="F57" s="102"/>
      <c r="G57" s="102"/>
      <c r="H57" s="103"/>
      <c r="I57" s="1"/>
    </row>
    <row r="58" spans="1:9" x14ac:dyDescent="0.25">
      <c r="A58" s="1"/>
      <c r="B58" s="104" t="s">
        <v>145</v>
      </c>
      <c r="C58" s="105"/>
      <c r="D58" s="105"/>
      <c r="E58" s="105"/>
      <c r="F58" s="106"/>
      <c r="G58" s="22">
        <f>(G53-G54)*(1+'Fane 13. Nøgletal'!C16)</f>
        <v>19034203.747798029</v>
      </c>
      <c r="H58" s="14" t="s">
        <v>3</v>
      </c>
      <c r="I58" s="1"/>
    </row>
    <row r="59" spans="1:9" x14ac:dyDescent="0.25">
      <c r="A59" s="1"/>
      <c r="B59" s="104" t="s">
        <v>146</v>
      </c>
      <c r="C59" s="105"/>
      <c r="D59" s="105"/>
      <c r="E59" s="105"/>
      <c r="F59" s="106"/>
      <c r="G59" s="22">
        <f>(G58)*'Fane 13. Nøgletal'!C33</f>
        <v>380684.07495596062</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1" t="s">
        <v>220</v>
      </c>
      <c r="C62" s="102"/>
      <c r="D62" s="102"/>
      <c r="E62" s="102"/>
      <c r="F62" s="102"/>
      <c r="G62" s="102"/>
      <c r="H62" s="103"/>
      <c r="I62" s="1"/>
    </row>
    <row r="63" spans="1:9" x14ac:dyDescent="0.25">
      <c r="A63" s="1"/>
      <c r="B63" s="104" t="s">
        <v>221</v>
      </c>
      <c r="C63" s="105"/>
      <c r="D63" s="105"/>
      <c r="E63" s="105"/>
      <c r="F63" s="106"/>
      <c r="G63" s="22">
        <f>(G58-G59)*(1+'Fane 13. Nøgletal'!C16)</f>
        <v>20160724.06240771</v>
      </c>
      <c r="H63" s="14" t="s">
        <v>3</v>
      </c>
      <c r="I63" s="1"/>
    </row>
    <row r="64" spans="1:9" x14ac:dyDescent="0.25">
      <c r="A64" s="1"/>
      <c r="B64" s="104" t="s">
        <v>222</v>
      </c>
      <c r="C64" s="105"/>
      <c r="D64" s="105"/>
      <c r="E64" s="105"/>
      <c r="F64" s="106"/>
      <c r="G64" s="22">
        <f>(G63)*'Fane 13. Nøgletal'!C33</f>
        <v>403214.48124815419</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0fJ9gPpFtO+OiHlTLwW5F5zVwWzaBEWj9d7GhsQvniHuShStsSHB9s1tB8WOU/3iCFBRyHStWXTt1JfUyKXhEg==" saltValue="RxgD9z1oDkNe5/QHh1UuuA=="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1" t="s">
        <v>48</v>
      </c>
      <c r="C4" s="102"/>
      <c r="D4" s="102"/>
      <c r="E4" s="102"/>
      <c r="F4" s="102"/>
      <c r="G4" s="102"/>
      <c r="H4" s="103"/>
      <c r="I4" s="1"/>
    </row>
    <row r="5" spans="1:9" x14ac:dyDescent="0.25">
      <c r="A5" s="1"/>
      <c r="B5" s="104" t="s">
        <v>51</v>
      </c>
      <c r="C5" s="105"/>
      <c r="D5" s="105"/>
      <c r="E5" s="105"/>
      <c r="F5" s="106"/>
      <c r="G5" s="47">
        <v>10742705.135599928</v>
      </c>
      <c r="H5" s="14" t="s">
        <v>3</v>
      </c>
      <c r="I5" s="1"/>
    </row>
    <row r="6" spans="1:9" x14ac:dyDescent="0.25">
      <c r="A6" s="1"/>
      <c r="B6" s="104" t="s">
        <v>49</v>
      </c>
      <c r="C6" s="105"/>
      <c r="D6" s="105"/>
      <c r="E6" s="105"/>
      <c r="F6" s="106"/>
      <c r="G6" s="22">
        <f>G5*'Fane 13. Nøgletal'!C21</f>
        <v>97758.616733959352</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1" t="s">
        <v>52</v>
      </c>
      <c r="C9" s="102"/>
      <c r="D9" s="102"/>
      <c r="E9" s="102"/>
      <c r="F9" s="102"/>
      <c r="G9" s="102"/>
      <c r="H9" s="103"/>
      <c r="I9" s="1"/>
    </row>
    <row r="10" spans="1:9" x14ac:dyDescent="0.25">
      <c r="A10" s="1"/>
      <c r="B10" s="104" t="s">
        <v>53</v>
      </c>
      <c r="C10" s="105"/>
      <c r="D10" s="105"/>
      <c r="E10" s="105"/>
      <c r="F10" s="106"/>
      <c r="G10" s="22">
        <f>(G5-G6)*(1+'Fane 13. Nøgletal'!C9)</f>
        <v>10780137.339655567</v>
      </c>
      <c r="H10" s="14" t="s">
        <v>3</v>
      </c>
      <c r="I10" s="1"/>
    </row>
    <row r="11" spans="1:9" x14ac:dyDescent="0.25">
      <c r="A11" s="1"/>
      <c r="B11" s="107" t="s">
        <v>54</v>
      </c>
      <c r="C11" s="108"/>
      <c r="D11" s="108"/>
      <c r="E11" s="108"/>
      <c r="F11" s="109"/>
      <c r="G11" s="48">
        <v>0</v>
      </c>
      <c r="H11" s="14" t="s">
        <v>3</v>
      </c>
      <c r="I11" s="1"/>
    </row>
    <row r="12" spans="1:9" x14ac:dyDescent="0.25">
      <c r="A12" s="1"/>
      <c r="B12" s="104" t="s">
        <v>55</v>
      </c>
      <c r="C12" s="105"/>
      <c r="D12" s="105"/>
      <c r="E12" s="105"/>
      <c r="F12" s="106"/>
      <c r="G12" s="22">
        <f>G10*'Fane 13. Nøgletal'!C21+G11*'Fane 13. Nøgletal'!C22</f>
        <v>98099.249790865666</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1" t="s">
        <v>56</v>
      </c>
      <c r="C15" s="102"/>
      <c r="D15" s="102"/>
      <c r="E15" s="102"/>
      <c r="F15" s="102"/>
      <c r="G15" s="102"/>
      <c r="H15" s="103"/>
      <c r="I15" s="1"/>
    </row>
    <row r="16" spans="1:9" x14ac:dyDescent="0.25">
      <c r="A16" s="1"/>
      <c r="B16" s="104" t="s">
        <v>57</v>
      </c>
      <c r="C16" s="105"/>
      <c r="D16" s="105"/>
      <c r="E16" s="105"/>
      <c r="F16" s="106"/>
      <c r="G16" s="22">
        <f>(G10+G11-G12)*(1+'Fane 13. Nøgletal'!C11)</f>
        <v>10862564.533583414</v>
      </c>
      <c r="H16" s="14" t="s">
        <v>3</v>
      </c>
      <c r="I16" s="1"/>
    </row>
    <row r="17" spans="1:9" x14ac:dyDescent="0.25">
      <c r="A17" s="1"/>
      <c r="B17" s="104" t="s">
        <v>101</v>
      </c>
      <c r="C17" s="105"/>
      <c r="D17" s="105"/>
      <c r="E17" s="105"/>
      <c r="F17" s="106"/>
      <c r="G17" s="47">
        <v>126438.15060442164</v>
      </c>
      <c r="H17" s="14" t="s">
        <v>3</v>
      </c>
      <c r="I17" s="1"/>
    </row>
    <row r="18" spans="1:9" x14ac:dyDescent="0.25">
      <c r="A18" s="1"/>
      <c r="B18" s="107" t="s">
        <v>58</v>
      </c>
      <c r="C18" s="108"/>
      <c r="D18" s="108"/>
      <c r="E18" s="108"/>
      <c r="F18" s="109"/>
      <c r="G18" s="47">
        <v>263110.67443717993</v>
      </c>
      <c r="H18" s="14" t="s">
        <v>3</v>
      </c>
      <c r="I18" s="1"/>
    </row>
    <row r="19" spans="1:9" x14ac:dyDescent="0.25">
      <c r="A19" s="1"/>
      <c r="B19" s="104" t="s">
        <v>59</v>
      </c>
      <c r="C19" s="105"/>
      <c r="D19" s="105"/>
      <c r="E19" s="105"/>
      <c r="F19" s="106"/>
      <c r="G19" s="22">
        <f>(G16+G17+G18)*'Fane 13. Nøgletal'!C23</f>
        <v>97893.386220037632</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1" t="s">
        <v>60</v>
      </c>
      <c r="C22" s="102"/>
      <c r="D22" s="102"/>
      <c r="E22" s="102"/>
      <c r="F22" s="102"/>
      <c r="G22" s="102"/>
      <c r="H22" s="103"/>
      <c r="I22" s="1"/>
    </row>
    <row r="23" spans="1:9" x14ac:dyDescent="0.25">
      <c r="A23" s="1"/>
      <c r="B23" s="104" t="s">
        <v>61</v>
      </c>
      <c r="C23" s="105"/>
      <c r="D23" s="105"/>
      <c r="E23" s="105"/>
      <c r="F23" s="106"/>
      <c r="G23" s="22">
        <f>(SUM(G16:G18)-G19)*(1+'Fane 13. Nøgletal'!C11)</f>
        <v>11342726.289938621</v>
      </c>
      <c r="H23" s="14" t="s">
        <v>3</v>
      </c>
      <c r="I23" s="1"/>
    </row>
    <row r="24" spans="1:9" x14ac:dyDescent="0.25">
      <c r="A24" s="1"/>
      <c r="B24" s="107" t="s">
        <v>62</v>
      </c>
      <c r="C24" s="108"/>
      <c r="D24" s="108"/>
      <c r="E24" s="108"/>
      <c r="F24" s="109"/>
      <c r="G24" s="47">
        <v>260712.83336020567</v>
      </c>
      <c r="H24" s="14" t="s">
        <v>3</v>
      </c>
      <c r="I24" s="1"/>
    </row>
    <row r="25" spans="1:9" x14ac:dyDescent="0.25">
      <c r="A25" s="1"/>
      <c r="B25" s="104" t="s">
        <v>63</v>
      </c>
      <c r="C25" s="105"/>
      <c r="D25" s="105"/>
      <c r="E25" s="105"/>
      <c r="F25" s="106"/>
      <c r="G25" s="22">
        <f>G23*'Fane 13. Nøgletal'!C23+G24*'Fane 13. Nøgletal'!C24</f>
        <v>106085.96318989585</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1" t="s">
        <v>119</v>
      </c>
      <c r="C28" s="102"/>
      <c r="D28" s="102"/>
      <c r="E28" s="102"/>
      <c r="F28" s="102"/>
      <c r="G28" s="102"/>
      <c r="H28" s="103"/>
      <c r="I28" s="1"/>
    </row>
    <row r="29" spans="1:9" x14ac:dyDescent="0.25">
      <c r="A29" s="1"/>
      <c r="B29" s="104" t="s">
        <v>64</v>
      </c>
      <c r="C29" s="105"/>
      <c r="D29" s="105"/>
      <c r="E29" s="105"/>
      <c r="F29" s="106"/>
      <c r="G29" s="22">
        <f>(G23+G24-G25)*(1+'Fane 13. Nøgletal'!C13)</f>
        <v>11637620.86866226</v>
      </c>
      <c r="H29" s="14" t="s">
        <v>3</v>
      </c>
      <c r="I29" s="1"/>
    </row>
    <row r="30" spans="1:9" x14ac:dyDescent="0.25">
      <c r="A30" s="1"/>
      <c r="B30" s="104" t="s">
        <v>113</v>
      </c>
      <c r="C30" s="105"/>
      <c r="D30" s="105"/>
      <c r="E30" s="105"/>
      <c r="F30" s="106"/>
      <c r="G30" s="47">
        <v>667274.31580823998</v>
      </c>
      <c r="H30" s="14" t="s">
        <v>3</v>
      </c>
      <c r="I30" s="1"/>
    </row>
    <row r="31" spans="1:9" x14ac:dyDescent="0.25">
      <c r="A31" s="1"/>
      <c r="B31" s="104" t="s">
        <v>120</v>
      </c>
      <c r="C31" s="105"/>
      <c r="D31" s="105"/>
      <c r="E31" s="105"/>
      <c r="F31" s="106"/>
      <c r="G31" s="22">
        <f>(G29+G30)*'Fane 13. Nøgletal'!C25</f>
        <v>338384.61757293879</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1" t="s">
        <v>124</v>
      </c>
      <c r="C34" s="102"/>
      <c r="D34" s="102"/>
      <c r="E34" s="102"/>
      <c r="F34" s="102"/>
      <c r="G34" s="102"/>
      <c r="H34" s="103"/>
      <c r="I34" s="1"/>
    </row>
    <row r="35" spans="1:9" x14ac:dyDescent="0.25">
      <c r="A35" s="1"/>
      <c r="B35" s="104" t="s">
        <v>67</v>
      </c>
      <c r="C35" s="105"/>
      <c r="D35" s="105"/>
      <c r="E35" s="105"/>
      <c r="F35" s="106"/>
      <c r="G35" s="22">
        <f>(G29+G30-G31)*(1+'Fane 13. Nøgletal'!C13)</f>
        <v>12112501.995813712</v>
      </c>
      <c r="H35" s="14" t="s">
        <v>3</v>
      </c>
      <c r="I35" s="1"/>
    </row>
    <row r="36" spans="1:9" x14ac:dyDescent="0.25">
      <c r="A36" s="1"/>
      <c r="B36" s="104" t="s">
        <v>129</v>
      </c>
      <c r="C36" s="105"/>
      <c r="D36" s="105"/>
      <c r="E36" s="105"/>
      <c r="F36" s="106"/>
      <c r="G36" s="22">
        <v>746822.73828702013</v>
      </c>
      <c r="H36" s="14" t="s">
        <v>3</v>
      </c>
      <c r="I36" s="1"/>
    </row>
    <row r="37" spans="1:9" x14ac:dyDescent="0.25">
      <c r="A37" s="1"/>
      <c r="B37" s="104" t="s">
        <v>125</v>
      </c>
      <c r="C37" s="105"/>
      <c r="D37" s="105"/>
      <c r="E37" s="105"/>
      <c r="F37" s="106"/>
      <c r="G37" s="22">
        <f>G35*'Fane 13. Nøgletal'!C25+G36*'Fane 13. Nøgletal'!C26</f>
        <v>344146.78141152504</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1" t="s">
        <v>159</v>
      </c>
      <c r="C40" s="102"/>
      <c r="D40" s="102"/>
      <c r="E40" s="102"/>
      <c r="F40" s="102"/>
      <c r="G40" s="102"/>
      <c r="H40" s="103"/>
      <c r="I40" s="1"/>
    </row>
    <row r="41" spans="1:9" x14ac:dyDescent="0.25">
      <c r="A41" s="1"/>
      <c r="B41" s="104" t="s">
        <v>66</v>
      </c>
      <c r="C41" s="105"/>
      <c r="D41" s="105"/>
      <c r="E41" s="105"/>
      <c r="F41" s="106"/>
      <c r="G41" s="22">
        <f>(G35+G36-G37)*(1+'Fane 13. Nøgletal'!C15)</f>
        <v>12960718.287804944</v>
      </c>
      <c r="H41" s="14" t="s">
        <v>3</v>
      </c>
      <c r="I41" s="1"/>
    </row>
    <row r="42" spans="1:9" x14ac:dyDescent="0.25">
      <c r="A42" s="1"/>
      <c r="B42" s="104" t="s">
        <v>169</v>
      </c>
      <c r="C42" s="105"/>
      <c r="D42" s="105"/>
      <c r="E42" s="105"/>
      <c r="F42" s="106"/>
      <c r="G42" s="9">
        <v>23788.398512160005</v>
      </c>
      <c r="H42" s="14" t="s">
        <v>3</v>
      </c>
      <c r="I42" s="1"/>
    </row>
    <row r="43" spans="1:9" x14ac:dyDescent="0.25">
      <c r="A43" s="1"/>
      <c r="B43" s="104" t="s">
        <v>65</v>
      </c>
      <c r="C43" s="105"/>
      <c r="D43" s="105"/>
      <c r="E43" s="105"/>
      <c r="F43" s="106"/>
      <c r="G43" s="56">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1" t="s">
        <v>160</v>
      </c>
      <c r="C46" s="102"/>
      <c r="D46" s="102"/>
      <c r="E46" s="102"/>
      <c r="F46" s="102"/>
      <c r="G46" s="102"/>
      <c r="H46" s="103"/>
      <c r="I46" s="1"/>
    </row>
    <row r="47" spans="1:9" x14ac:dyDescent="0.25">
      <c r="A47" s="1"/>
      <c r="B47" s="104" t="s">
        <v>114</v>
      </c>
      <c r="C47" s="105"/>
      <c r="D47" s="105"/>
      <c r="E47" s="105"/>
      <c r="F47" s="106"/>
      <c r="G47" s="22">
        <f>(G41+G42-G43)*(1+'Fane 13. Nøgletal'!C15)</f>
        <v>13446755.124349995</v>
      </c>
      <c r="H47" s="14" t="s">
        <v>3</v>
      </c>
      <c r="I47" s="1"/>
    </row>
    <row r="48" spans="1:9" x14ac:dyDescent="0.25">
      <c r="A48" s="1"/>
      <c r="B48" s="104" t="s">
        <v>210</v>
      </c>
      <c r="C48" s="105"/>
      <c r="D48" s="105"/>
      <c r="E48" s="105"/>
      <c r="F48" s="106"/>
      <c r="G48" s="22">
        <f>('Fane 2.1. Økonomisk ramme 2024'!C10+'Fane 2.1. Økonomisk ramme 2024'!C12+'Fane 2.1. Økonomisk ramme 2024'!C14)*(1+'Fane 13. Nøgletal'!C16)</f>
        <v>323952.44321663998</v>
      </c>
      <c r="H48" s="14" t="s">
        <v>3</v>
      </c>
      <c r="I48" s="1"/>
    </row>
    <row r="49" spans="1:9" x14ac:dyDescent="0.25">
      <c r="A49" s="1"/>
      <c r="B49" s="104" t="s">
        <v>211</v>
      </c>
      <c r="C49" s="105"/>
      <c r="D49" s="105"/>
      <c r="E49" s="105"/>
      <c r="F49" s="106"/>
      <c r="G49" s="56">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1" t="s">
        <v>130</v>
      </c>
      <c r="C52" s="102"/>
      <c r="D52" s="102"/>
      <c r="E52" s="102"/>
      <c r="F52" s="102"/>
      <c r="G52" s="102"/>
      <c r="H52" s="103"/>
      <c r="I52" s="1"/>
    </row>
    <row r="53" spans="1:9" x14ac:dyDescent="0.25">
      <c r="A53" s="1"/>
      <c r="B53" s="104" t="s">
        <v>131</v>
      </c>
      <c r="C53" s="105"/>
      <c r="D53" s="105"/>
      <c r="E53" s="105"/>
      <c r="F53" s="106"/>
      <c r="G53" s="22">
        <f>(G47+G48-G49)*(1+'Fane 13. Nøgletal'!C16)</f>
        <v>14883380.739026019</v>
      </c>
      <c r="H53" s="14" t="s">
        <v>3</v>
      </c>
      <c r="I53" s="1"/>
    </row>
    <row r="54" spans="1:9" x14ac:dyDescent="0.25">
      <c r="A54" s="1"/>
      <c r="B54" s="104" t="s">
        <v>132</v>
      </c>
      <c r="C54" s="105"/>
      <c r="D54" s="105"/>
      <c r="E54" s="105"/>
      <c r="F54" s="106"/>
      <c r="G54" s="56">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1" t="s">
        <v>147</v>
      </c>
      <c r="C57" s="102"/>
      <c r="D57" s="102"/>
      <c r="E57" s="102"/>
      <c r="F57" s="102"/>
      <c r="G57" s="102"/>
      <c r="H57" s="103"/>
      <c r="I57" s="1"/>
    </row>
    <row r="58" spans="1:9" x14ac:dyDescent="0.25">
      <c r="A58" s="1"/>
      <c r="B58" s="104" t="s">
        <v>148</v>
      </c>
      <c r="C58" s="105"/>
      <c r="D58" s="105"/>
      <c r="E58" s="105"/>
      <c r="F58" s="106"/>
      <c r="G58" s="22">
        <f>(G53-G54)*(1+'Fane 13. Nøgletal'!C16)</f>
        <v>16085957.902739322</v>
      </c>
      <c r="H58" s="14" t="s">
        <v>3</v>
      </c>
      <c r="I58" s="1"/>
    </row>
    <row r="59" spans="1:9" x14ac:dyDescent="0.25">
      <c r="A59" s="1"/>
      <c r="B59" s="104" t="s">
        <v>149</v>
      </c>
      <c r="C59" s="105"/>
      <c r="D59" s="105"/>
      <c r="E59" s="105"/>
      <c r="F59" s="106"/>
      <c r="G59" s="56">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1" t="s">
        <v>223</v>
      </c>
      <c r="C62" s="102"/>
      <c r="D62" s="102"/>
      <c r="E62" s="102"/>
      <c r="F62" s="102"/>
      <c r="G62" s="102"/>
      <c r="H62" s="103"/>
      <c r="I62" s="1"/>
    </row>
    <row r="63" spans="1:9" x14ac:dyDescent="0.25">
      <c r="A63" s="1"/>
      <c r="B63" s="104" t="s">
        <v>224</v>
      </c>
      <c r="C63" s="105"/>
      <c r="D63" s="105"/>
      <c r="E63" s="105"/>
      <c r="F63" s="106"/>
      <c r="G63" s="22">
        <f>(G58-G59)*(1+'Fane 13. Nøgletal'!C16)</f>
        <v>17385703.301280659</v>
      </c>
      <c r="H63" s="14" t="s">
        <v>3</v>
      </c>
      <c r="I63" s="1"/>
    </row>
    <row r="64" spans="1:9" x14ac:dyDescent="0.25">
      <c r="A64" s="1"/>
      <c r="B64" s="104" t="s">
        <v>225</v>
      </c>
      <c r="C64" s="105"/>
      <c r="D64" s="105"/>
      <c r="E64" s="105"/>
      <c r="F64" s="106"/>
      <c r="G64" s="56">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pBSHDbH5WrJBlSaSuIqe1DNI2VDYlAq5P2Xih4tUrVUz7MA25oGzu09i2PXGGrMWoefvESCjSvMAz7NT96H6mw==" saltValue="XQpROmGLyklYhsmlXonBgg=="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1" t="s">
        <v>9</v>
      </c>
      <c r="C8" s="102"/>
      <c r="D8" s="102"/>
      <c r="E8" s="102"/>
      <c r="F8" s="102"/>
      <c r="G8" s="103"/>
      <c r="H8" s="1"/>
    </row>
    <row r="9" spans="1:8" x14ac:dyDescent="0.25">
      <c r="A9" s="1"/>
      <c r="B9" s="65" t="s">
        <v>150</v>
      </c>
      <c r="C9" s="66"/>
      <c r="D9" s="66"/>
      <c r="E9" s="66"/>
      <c r="F9" s="67"/>
      <c r="G9" s="51">
        <v>0.02</v>
      </c>
      <c r="H9" s="1"/>
    </row>
    <row r="10" spans="1:8" x14ac:dyDescent="0.25">
      <c r="A10" s="1"/>
      <c r="B10" s="52"/>
      <c r="C10" s="53"/>
      <c r="D10" s="53"/>
      <c r="E10" s="53"/>
      <c r="F10" s="53"/>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DaDL7emRzcJ5lbGm8LRNj9KJ4ETsWKLXiVuq0JZjo4tBNBXx/kDHE6hWcki+SY1pwAba7qg1netk01i5LKOkWw==" saltValue="gEH9xVpf6j1cISzioPR7Sw=="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2023-11-06T16:07:54Z</dcterms:modified>
</cp:coreProperties>
</file>