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G11" i="30" s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1" i="36" l="1"/>
  <c r="C11" i="15"/>
  <c r="G32" i="30"/>
  <c r="C10" i="15"/>
  <c r="G38" i="30"/>
  <c r="C9" i="22"/>
  <c r="G37" i="36"/>
  <c r="C10" i="22"/>
  <c r="G43" i="36"/>
  <c r="C10" i="23"/>
  <c r="C9" i="23"/>
  <c r="G44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14" i="39" l="1"/>
  <c r="C25" i="2" s="1"/>
  <c r="C30" i="39"/>
  <c r="C19" i="22" s="1"/>
  <c r="E30" i="39"/>
  <c r="C20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2" l="1"/>
  <c r="C21" i="23"/>
  <c r="C22" i="15"/>
  <c r="C26" i="2"/>
  <c r="G6" i="36" l="1"/>
  <c r="G10" i="36" s="1"/>
  <c r="G14" i="30" l="1"/>
  <c r="G18" i="30" s="1"/>
  <c r="G13" i="36" l="1"/>
  <c r="G17" i="36" s="1"/>
  <c r="G20" i="36" l="1"/>
  <c r="G24" i="36" s="1"/>
  <c r="G21" i="30" l="1"/>
  <c r="G25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6" i="30" l="1"/>
  <c r="G27" i="30" s="1"/>
  <c r="C18" i="2" l="1"/>
  <c r="G31" i="30" l="1"/>
  <c r="G33" i="30" s="1"/>
  <c r="E11" i="11"/>
  <c r="E10" i="37" s="1"/>
  <c r="E13" i="37" s="1"/>
  <c r="E14" i="37" s="1"/>
  <c r="C11" i="2" s="1"/>
  <c r="G25" i="36" s="1"/>
  <c r="G26" i="36" s="1"/>
  <c r="C28" i="2"/>
  <c r="C14" i="15" l="1"/>
  <c r="G37" i="30" l="1"/>
  <c r="G39" i="30" s="1"/>
  <c r="C13" i="22" l="1"/>
  <c r="G43" i="30" l="1"/>
  <c r="C19" i="2"/>
  <c r="G30" i="36"/>
  <c r="G32" i="36" s="1"/>
  <c r="G45" i="30" l="1"/>
  <c r="C13" i="23" s="1"/>
  <c r="G36" i="36"/>
  <c r="G38" i="36" s="1"/>
  <c r="C15" i="15" l="1"/>
  <c r="C14" i="22"/>
  <c r="G42" i="36" l="1"/>
  <c r="G44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<sst xmlns="http://schemas.openxmlformats.org/spreadsheetml/2006/main" count="603" uniqueCount="249">
  <si>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</si>
  <si>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</si>
  <si>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</si>
  <si>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</si>
  <si>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</si>
  <si>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</si>
  <si>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</si>
  <si>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</si>
  <si>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</si>
  <si>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</si>
  <si>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</si>
  <si>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</si>
  <si>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</si>
  <si>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</si>
  <si>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</si>
  <si>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</si>
  <si>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</si>
  <si>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</si>
  <si>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</si>
  <si>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</si>
  <si>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</si>
  <si>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</si>
  <si>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</si>
  <si>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</si>
  <si>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</si>
  <si>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</si>
  <si>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</si>
  <si>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</si>
  <si>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</si>
  <si>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</si>
  <si>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</si>
  <si>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</si>
  <si>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</si>
  <si>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</si>
  <si>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</si>
  <si>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</si>
  <si>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</si>
  <si>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</si>
  <si>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</si>
  <si>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</si>
  <si>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</si>
  <si>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</si>
  <si>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</si>
  <si>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</si>
  <si>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</si>
  <si>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</si>
  <si>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</si>
  <si>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</si>
  <si>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</si>
  <si>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</si>
  <si>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</si>
  <si>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</si>
  <si>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</si>
  <si>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</si>
  <si>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</si>
  <si>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</si>
  <si>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</si>
  <si>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</si>
  <si>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</si>
  <si>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</si>
  <si>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</si>
  <si>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</si>
  <si>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</si>
  <si>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</si>
  <si>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</si>
  <si>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</si>
  <si>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</si>
  <si>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</si>
  <si>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</si>
  <si>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</si>
  <si>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</si>
  <si>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</si>
  <si>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</si>
  <si>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</si>
  <si>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</si>
  <si>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</si>
  <si>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</si>
  <si>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</si>
  <si>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</si>
  <si>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</si>
  <si>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</si>
  <si>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</si>
  <si>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</si>
  <si>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</si>
  <si>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</si>
  <si>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</si>
  <si>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</si>
  <si>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</si>
  <si>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</si>
  <si>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</si>
  <si>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</si>
  <si>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</si>
  <si>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</si>
  <si>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</si>
  <si>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</si>
  <si>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</si>
  <si>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</si>
  <si>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</si>
  <si>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</si>
  <si>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</si>
  <si>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</si>
  <si>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</si>
  <si>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</si>
  <si>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</si>
  <si>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</si>
  <si>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</si>
  <si>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</si>
  <si>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</si>
  <si>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</si>
  <si>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</si>
  <si>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</si>
  <si>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</si>
  <si>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</si>
  <si>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</si>
  <si>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</si>
  <si>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</si>
  <si>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</si>
  <si>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</si>
  <si>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</si>
  <si>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</si>
  <si>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</si>
  <si>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</si>
  <si>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</si>
  <si>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</si>
  <si>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</si>
  <si>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</si>
  <si>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</si>
  <si>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</si>
  <si>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</si>
  <si>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</si>
  <si>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</si>
  <si>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</si>
  <si>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</si>
  <si>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</si>
  <si>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</si>
  <si>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</si>
  <si>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</si>
  <si>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</si>
  <si>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</si>
  <si>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</si>
  <si>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</si>
  <si>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</si>
  <si>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</si>
  <si>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</si>
  <si>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</si>
  <si>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</si>
  <si>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</si>
  <si>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</si>
  <si>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</si>
  <si>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</si>
  <si>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</si>
  <si>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</si>
  <si>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</si>
  <si>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</si>
  <si>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</si>
  <si>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</si>
  <si>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</si>
  <si>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</si>
  <si>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</si>
  <si>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</si>
  <si>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</si>
  <si>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</si>
  <si>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</si>
  <si>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</si>
  <si>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</si>
  <si>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</si>
  <si>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</si>
  <si>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</si>
  <si>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</si>
  <si>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</si>
  <si>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</si>
  <si>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</si>
  <si>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</si>
  <si>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</si>
  <si>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</si>
  <si>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</si>
  <si>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</si>
  <si>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</si>
  <si>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</si>
  <si>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</si>
  <si>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</si>
  <si>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</si>
  <si>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</si>
  <si>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</si>
  <si>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</si>
  <si>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</si>
  <si>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</si>
  <si>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</si>
  <si>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</si>
  <si>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</si>
  <si>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</si>
  <si>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</si>
  <si>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</si>
  <si>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</si>
  <si>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</si>
  <si>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</si>
  <si>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</si>
  <si>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</si>
  <si>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</si>
  <si>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</si>
  <si>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</si>
  <si>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</si>
  <si>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</si>
  <si>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</si>
  <si>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</si>
  <si>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</si>
  <si>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</si>
  <si>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</si>
  <si>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</si>
  <si>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</si>
  <si>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</si>
  <si>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</si>
  <si>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</si>
  <si>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</si>
  <si>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</si>
  <si>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</si>
  <si>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</si>
  <si>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</si>
  <si>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</si>
  <si>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</si>
  <si>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</si>
  <si>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</si>
  <si>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</si>
  <si>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</si>
  <si>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</si>
  <si>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</si>
  <si>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</si>
  <si>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</si>
  <si>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</si>
  <si>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</si>
  <si>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</si>
  <si>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</si>
  <si>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</si>
  <si>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</si>
  <si>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</si>
  <si>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</si>
  <si>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</si>
  <si>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</si>
  <si>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Viborgvej</t>
  </si>
  <si>
    <t>Byggemodninger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</si>
  <si>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</si>
  <si>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</si>
  <si>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</si>
  <si>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</si>
  <si>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</si>
  <si>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</si>
  <si>
    <t>- heraf driftsomkostninger for Fyrrebakkens Vandværk for 2017</t>
  </si>
  <si>
    <t>- heraf anlægsomkostninger for Fyrrebakkens Vandværk for 2017</t>
  </si>
  <si>
    <t>Anlægsomkostninger i grundlaget til de økonomiske rammer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</si>
</sst>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>
            <v>1.0168999999999999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5" t="s">
        <v>191</v>
      </c>
      <c r="E8" s="65"/>
      <c r="F8" s="65"/>
      <c r="G8" s="6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56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22</v>
      </c>
      <c r="D14" s="57" t="s">
        <v>176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55</v>
      </c>
      <c r="D15" s="57" t="s">
        <v>132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57</v>
      </c>
      <c r="D16" s="57" t="s">
        <v>133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223</v>
      </c>
      <c r="D17" s="57" t="s">
        <v>66</v>
      </c>
      <c r="E17" s="58"/>
      <c r="F17" s="58"/>
      <c r="G17" s="59"/>
      <c r="H17" s="1"/>
      <c r="I17" s="1"/>
    </row>
    <row r="18" spans="1:9" x14ac:dyDescent="0.45">
      <c r="A18" s="1"/>
      <c r="B18" s="1"/>
      <c r="C18" s="34" t="s">
        <v>195</v>
      </c>
      <c r="D18" s="66" t="s">
        <v>161</v>
      </c>
      <c r="E18" s="67"/>
      <c r="F18" s="67"/>
      <c r="G18" s="68"/>
      <c r="H18" s="1"/>
      <c r="I18" s="1"/>
    </row>
    <row r="19" spans="1:9" x14ac:dyDescent="0.45">
      <c r="A19" s="1"/>
      <c r="B19" s="1"/>
      <c r="C19" s="34" t="s">
        <v>196</v>
      </c>
      <c r="D19" s="66" t="s">
        <v>162</v>
      </c>
      <c r="E19" s="67"/>
      <c r="F19" s="67"/>
      <c r="G19" s="68"/>
      <c r="H19" s="1"/>
      <c r="I19" s="1"/>
    </row>
    <row r="20" spans="1:9" x14ac:dyDescent="0.45">
      <c r="A20" s="1"/>
      <c r="B20" s="1"/>
      <c r="C20" s="34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45">
      <c r="A21" s="1"/>
      <c r="B21" s="1"/>
      <c r="C21" s="6" t="s">
        <v>197</v>
      </c>
      <c r="D21" s="75" t="s">
        <v>17</v>
      </c>
      <c r="E21" s="76"/>
      <c r="F21" s="76"/>
      <c r="G21" s="77"/>
      <c r="H21" s="1"/>
      <c r="I21" s="1"/>
    </row>
    <row r="22" spans="1:9" x14ac:dyDescent="0.45">
      <c r="A22" s="1"/>
      <c r="B22" s="1"/>
      <c r="C22" s="6" t="s">
        <v>139</v>
      </c>
      <c r="D22" s="61" t="s">
        <v>160</v>
      </c>
      <c r="E22" s="62"/>
      <c r="F22" s="62"/>
      <c r="G22" s="63"/>
      <c r="H22" s="1"/>
      <c r="I22" s="1"/>
    </row>
    <row r="23" spans="1:9" x14ac:dyDescent="0.45">
      <c r="A23" s="1"/>
      <c r="B23" s="1"/>
      <c r="C23" s="6" t="s">
        <v>8</v>
      </c>
      <c r="D23" s="61" t="s">
        <v>224</v>
      </c>
      <c r="E23" s="62"/>
      <c r="F23" s="62"/>
      <c r="G23" s="63"/>
      <c r="H23" s="1"/>
      <c r="I23" s="1"/>
    </row>
    <row r="24" spans="1:9" x14ac:dyDescent="0.45">
      <c r="A24" s="1"/>
      <c r="B24" s="1"/>
      <c r="C24" s="6" t="s">
        <v>9</v>
      </c>
      <c r="D24" s="61" t="s">
        <v>58</v>
      </c>
      <c r="E24" s="62"/>
      <c r="F24" s="62"/>
      <c r="G24" s="63"/>
      <c r="H24" s="1"/>
      <c r="I24" s="1"/>
    </row>
    <row r="25" spans="1:9" x14ac:dyDescent="0.45">
      <c r="A25" s="1"/>
      <c r="B25" s="1"/>
      <c r="C25" s="6" t="s">
        <v>198</v>
      </c>
      <c r="D25" s="61" t="s">
        <v>140</v>
      </c>
      <c r="E25" s="62"/>
      <c r="F25" s="62"/>
      <c r="G25" s="63"/>
      <c r="H25" s="1"/>
      <c r="I25" s="1"/>
    </row>
    <row r="26" spans="1:9" x14ac:dyDescent="0.45">
      <c r="A26" s="1"/>
      <c r="B26" s="1"/>
      <c r="C26" s="6" t="s">
        <v>199</v>
      </c>
      <c r="D26" s="61" t="s">
        <v>141</v>
      </c>
      <c r="E26" s="62"/>
      <c r="F26" s="62"/>
      <c r="G26" s="63"/>
      <c r="H26" s="1"/>
      <c r="I26" s="1"/>
    </row>
    <row r="27" spans="1:9" x14ac:dyDescent="0.45">
      <c r="A27" s="1"/>
      <c r="B27" s="1"/>
      <c r="C27" s="6" t="s">
        <v>200</v>
      </c>
      <c r="D27" s="61" t="s">
        <v>59</v>
      </c>
      <c r="E27" s="62"/>
      <c r="F27" s="62"/>
      <c r="G27" s="63"/>
      <c r="H27" s="1"/>
      <c r="I27" s="1"/>
    </row>
    <row r="28" spans="1:9" x14ac:dyDescent="0.45">
      <c r="A28" s="1"/>
      <c r="B28" s="1"/>
      <c r="C28" s="6" t="s">
        <v>182</v>
      </c>
      <c r="D28" s="61" t="s">
        <v>60</v>
      </c>
      <c r="E28" s="62"/>
      <c r="F28" s="62"/>
      <c r="G28" s="63"/>
      <c r="H28" s="1"/>
      <c r="I28" s="1"/>
    </row>
    <row r="29" spans="1:9" x14ac:dyDescent="0.45">
      <c r="A29" s="1"/>
      <c r="B29" s="1"/>
      <c r="C29" s="6" t="s">
        <v>61</v>
      </c>
      <c r="D29" s="69" t="s">
        <v>11</v>
      </c>
      <c r="E29" s="70"/>
      <c r="F29" s="70"/>
      <c r="G29" s="71"/>
      <c r="H29" s="1"/>
      <c r="I29" s="1"/>
    </row>
    <row r="30" spans="1:9" x14ac:dyDescent="0.45">
      <c r="A30" s="1"/>
      <c r="B30" s="1"/>
      <c r="C30" s="6" t="s">
        <v>62</v>
      </c>
      <c r="D30" s="72" t="s">
        <v>183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aFk3qAaGQ7bRe5YungJOtE2PzfJgn/j0ZdG/V+xB6QOdZ+JVv1vdCWk3wei56NcJV5+++YZbJHJPtoiu0YX0Q==" saltValue="w2YJC2aMN+w/8jGxY2mpr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8" t="s">
        <v>203</v>
      </c>
      <c r="C3" s="78"/>
      <c r="D3" s="78"/>
      <c r="E3" s="1"/>
      <c r="F3" s="1"/>
    </row>
    <row r="4" spans="1:6" ht="15" customHeight="1" x14ac:dyDescent="0.45">
      <c r="A4" s="1"/>
      <c r="B4" s="78"/>
      <c r="C4" s="78"/>
      <c r="D4" s="7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1" t="s">
        <v>69</v>
      </c>
      <c r="C8" s="102"/>
      <c r="D8" s="103"/>
      <c r="E8" s="1"/>
      <c r="F8" s="1"/>
    </row>
    <row r="9" spans="1:6" ht="15" customHeight="1" x14ac:dyDescent="0.45">
      <c r="A9" s="1"/>
      <c r="B9" s="42" t="s">
        <v>48</v>
      </c>
      <c r="C9" s="11" t="s">
        <v>70</v>
      </c>
      <c r="D9" s="11"/>
      <c r="E9" s="1"/>
      <c r="F9" s="1"/>
    </row>
    <row r="10" spans="1:6" x14ac:dyDescent="0.45">
      <c r="A10" s="1"/>
      <c r="B10" s="53" t="s">
        <v>233</v>
      </c>
      <c r="C10" s="9">
        <v>15111300</v>
      </c>
      <c r="D10" s="14" t="s">
        <v>3</v>
      </c>
      <c r="E10" s="1"/>
      <c r="F10" s="1"/>
    </row>
    <row r="11" spans="1:6" x14ac:dyDescent="0.45">
      <c r="A11" s="1"/>
      <c r="B11" s="53" t="s">
        <v>234</v>
      </c>
      <c r="C11" s="9">
        <v>53016</v>
      </c>
      <c r="D11" s="14" t="s">
        <v>3</v>
      </c>
      <c r="E11" s="1"/>
      <c r="F11" s="1"/>
    </row>
    <row r="12" spans="1:6" ht="26.65" x14ac:dyDescent="0.45">
      <c r="A12" s="1"/>
      <c r="B12" s="48" t="s">
        <v>235</v>
      </c>
      <c r="C12" s="9">
        <v>24844</v>
      </c>
      <c r="D12" s="14" t="s">
        <v>3</v>
      </c>
      <c r="E12" s="1"/>
      <c r="F12" s="1"/>
    </row>
    <row r="13" spans="1:6" x14ac:dyDescent="0.45">
      <c r="A13" s="1"/>
      <c r="B13" s="53" t="s">
        <v>236</v>
      </c>
      <c r="C13" s="9">
        <v>190305</v>
      </c>
      <c r="D13" s="14" t="s">
        <v>3</v>
      </c>
      <c r="E13" s="1"/>
      <c r="F13" s="1"/>
    </row>
    <row r="14" spans="1:6" x14ac:dyDescent="0.45">
      <c r="A14" s="1"/>
      <c r="B14" s="53" t="s">
        <v>237</v>
      </c>
      <c r="C14" s="9">
        <v>350520</v>
      </c>
      <c r="D14" s="14" t="s">
        <v>3</v>
      </c>
      <c r="E14" s="1"/>
      <c r="F14" s="1"/>
    </row>
    <row r="15" spans="1:6" x14ac:dyDescent="0.45">
      <c r="A15" s="1"/>
      <c r="B15" s="49" t="s">
        <v>71</v>
      </c>
      <c r="C15" s="12">
        <f>SUM(C10:C14)</f>
        <v>15729985</v>
      </c>
      <c r="D15" s="13" t="s">
        <v>3</v>
      </c>
      <c r="E15" s="1"/>
      <c r="F15" s="1"/>
    </row>
    <row r="16" spans="1:6" x14ac:dyDescent="0.45">
      <c r="A16" s="1"/>
      <c r="B16" s="49" t="s">
        <v>72</v>
      </c>
      <c r="C16" s="12">
        <f>C15*(1+'Fane 14. Nøgletal'!C12)^2</f>
        <v>16355851.058878651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ABCtnwJjTkOy4ff7j7T00xfOG2DZySF0eEnUOZlbWzBk+GZ2umOdTFnvDogG75s4YH65KO9b4bsjVVCGSh0OHg==" saltValue="7R0VDuSl3GfPVaKBGF+ro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5" t="s">
        <v>204</v>
      </c>
      <c r="C3" s="95"/>
      <c r="D3" s="95"/>
      <c r="E3" s="95"/>
      <c r="F3" s="95"/>
      <c r="G3" s="1"/>
    </row>
    <row r="4" spans="1:7" ht="15" customHeight="1" x14ac:dyDescent="0.45">
      <c r="A4" s="1"/>
      <c r="B4" s="95"/>
      <c r="C4" s="95"/>
      <c r="D4" s="95"/>
      <c r="E4" s="95"/>
      <c r="F4" s="95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101" t="s">
        <v>52</v>
      </c>
      <c r="C6" s="102"/>
      <c r="D6" s="102"/>
      <c r="E6" s="102"/>
      <c r="F6" s="103"/>
      <c r="G6" s="1"/>
    </row>
    <row r="7" spans="1:7" ht="15" customHeight="1" x14ac:dyDescent="0.45">
      <c r="A7" s="1"/>
      <c r="B7" s="104" t="s">
        <v>50</v>
      </c>
      <c r="C7" s="105"/>
      <c r="D7" s="106"/>
      <c r="E7" s="9">
        <v>-1413611.7583333333</v>
      </c>
      <c r="F7" s="14" t="s">
        <v>3</v>
      </c>
      <c r="G7" s="1"/>
    </row>
    <row r="8" spans="1:7" ht="15" customHeight="1" x14ac:dyDescent="0.45">
      <c r="A8" s="1"/>
      <c r="B8" s="104" t="s">
        <v>51</v>
      </c>
      <c r="C8" s="105"/>
      <c r="D8" s="106"/>
      <c r="E8" s="9">
        <v>0</v>
      </c>
      <c r="F8" s="14" t="s">
        <v>3</v>
      </c>
      <c r="G8" s="1"/>
    </row>
    <row r="9" spans="1:7" ht="15" customHeight="1" x14ac:dyDescent="0.45">
      <c r="A9" s="1"/>
      <c r="B9" s="112" t="s">
        <v>185</v>
      </c>
      <c r="C9" s="113"/>
      <c r="D9" s="114"/>
      <c r="E9" s="10">
        <f>SUM(E7:E8)</f>
        <v>-1413611.7583333333</v>
      </c>
      <c r="F9" s="17" t="s">
        <v>3</v>
      </c>
      <c r="G9" s="1"/>
    </row>
    <row r="10" spans="1:7" ht="15" customHeight="1" x14ac:dyDescent="0.45">
      <c r="A10" s="1"/>
      <c r="B10" s="49"/>
      <c r="C10" s="50"/>
      <c r="D10" s="50"/>
      <c r="E10" s="50"/>
      <c r="F10" s="22"/>
      <c r="G10" s="1"/>
    </row>
    <row r="11" spans="1:7" ht="28.5" customHeight="1" x14ac:dyDescent="0.45">
      <c r="A11" s="1"/>
      <c r="B11" s="80" t="s">
        <v>187</v>
      </c>
      <c r="C11" s="81"/>
      <c r="D11" s="81"/>
      <c r="E11" s="81"/>
      <c r="F11" s="82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1" t="s">
        <v>164</v>
      </c>
      <c r="C14" s="102"/>
      <c r="D14" s="102"/>
      <c r="E14" s="102"/>
      <c r="F14" s="103"/>
      <c r="G14" s="1"/>
    </row>
    <row r="15" spans="1:7" x14ac:dyDescent="0.45">
      <c r="A15" s="1"/>
      <c r="B15" s="104" t="s">
        <v>165</v>
      </c>
      <c r="C15" s="105"/>
      <c r="D15" s="106"/>
      <c r="E15" s="9">
        <v>39735327.762274705</v>
      </c>
      <c r="F15" s="14" t="s">
        <v>3</v>
      </c>
      <c r="G15" s="1"/>
    </row>
    <row r="16" spans="1:7" x14ac:dyDescent="0.45">
      <c r="A16" s="1"/>
      <c r="B16" s="104" t="s">
        <v>166</v>
      </c>
      <c r="C16" s="105"/>
      <c r="D16" s="106"/>
      <c r="E16" s="9">
        <v>35637540</v>
      </c>
      <c r="F16" s="14" t="s">
        <v>3</v>
      </c>
      <c r="G16" s="1"/>
    </row>
    <row r="17" spans="1:7" x14ac:dyDescent="0.45">
      <c r="A17" s="1"/>
      <c r="B17" s="104" t="s">
        <v>49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12" t="s">
        <v>186</v>
      </c>
      <c r="C18" s="113"/>
      <c r="D18" s="114"/>
      <c r="E18" s="10">
        <f>E15-(E16-E17)</f>
        <v>4097787.7622747049</v>
      </c>
      <c r="F18" s="17" t="s">
        <v>3</v>
      </c>
      <c r="G18" s="1"/>
    </row>
    <row r="19" spans="1:7" x14ac:dyDescent="0.45">
      <c r="A19" s="1"/>
      <c r="B19" s="49"/>
      <c r="C19" s="50"/>
      <c r="D19" s="50"/>
      <c r="E19" s="50"/>
      <c r="F19" s="22"/>
      <c r="G19" s="1"/>
    </row>
    <row r="20" spans="1:7" ht="30" customHeight="1" x14ac:dyDescent="0.45">
      <c r="A20" s="1"/>
      <c r="B20" s="80" t="s">
        <v>188</v>
      </c>
      <c r="C20" s="81"/>
      <c r="D20" s="81"/>
      <c r="E20" s="81"/>
      <c r="F20" s="82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01" t="s">
        <v>77</v>
      </c>
      <c r="C23" s="102"/>
      <c r="D23" s="102"/>
      <c r="E23" s="102"/>
      <c r="F23" s="103"/>
      <c r="G23" s="1"/>
    </row>
    <row r="24" spans="1:7" x14ac:dyDescent="0.45">
      <c r="A24" s="1"/>
      <c r="B24" s="104" t="s">
        <v>78</v>
      </c>
      <c r="C24" s="105"/>
      <c r="D24" s="106"/>
      <c r="E24" s="9">
        <v>35246322.445036754</v>
      </c>
      <c r="F24" s="14" t="s">
        <v>3</v>
      </c>
      <c r="G24" s="1"/>
    </row>
    <row r="25" spans="1:7" x14ac:dyDescent="0.45">
      <c r="A25" s="1"/>
      <c r="B25" s="104" t="s">
        <v>79</v>
      </c>
      <c r="C25" s="105"/>
      <c r="D25" s="106"/>
      <c r="E25" s="9">
        <v>35234497</v>
      </c>
      <c r="F25" s="14" t="s">
        <v>3</v>
      </c>
      <c r="G25" s="1"/>
    </row>
    <row r="26" spans="1:7" x14ac:dyDescent="0.45">
      <c r="A26" s="1"/>
      <c r="B26" s="104" t="s">
        <v>49</v>
      </c>
      <c r="C26" s="105"/>
      <c r="D26" s="106"/>
      <c r="E26" s="9">
        <v>0</v>
      </c>
      <c r="F26" s="14" t="s">
        <v>3</v>
      </c>
      <c r="G26" s="1"/>
    </row>
    <row r="27" spans="1:7" x14ac:dyDescent="0.45">
      <c r="A27" s="1"/>
      <c r="B27" s="112" t="s">
        <v>186</v>
      </c>
      <c r="C27" s="113"/>
      <c r="D27" s="114"/>
      <c r="E27" s="10">
        <f>E24-(E25-E26)</f>
        <v>11825.445036754012</v>
      </c>
      <c r="F27" s="17" t="s">
        <v>3</v>
      </c>
      <c r="G27" s="1"/>
    </row>
    <row r="28" spans="1:7" x14ac:dyDescent="0.45">
      <c r="A28" s="1"/>
      <c r="B28" s="49"/>
      <c r="C28" s="50"/>
      <c r="D28" s="50"/>
      <c r="E28" s="5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01" t="s">
        <v>243</v>
      </c>
      <c r="C31" s="102"/>
      <c r="D31" s="102"/>
      <c r="E31" s="102"/>
      <c r="F31" s="103"/>
      <c r="G31" s="1"/>
    </row>
    <row r="32" spans="1:7" x14ac:dyDescent="0.45">
      <c r="A32" s="1"/>
      <c r="B32" s="112" t="s">
        <v>244</v>
      </c>
      <c r="C32" s="113"/>
      <c r="D32" s="114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101"/>
      <c r="C33" s="102"/>
      <c r="D33" s="102"/>
      <c r="E33" s="102"/>
      <c r="F33" s="103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01" t="s">
        <v>179</v>
      </c>
      <c r="C36" s="102"/>
      <c r="D36" s="102"/>
      <c r="E36" s="102"/>
      <c r="F36" s="103"/>
      <c r="G36" s="1"/>
    </row>
    <row r="37" spans="1:7" x14ac:dyDescent="0.45">
      <c r="A37" s="1"/>
      <c r="B37" s="115" t="s">
        <v>53</v>
      </c>
      <c r="C37" s="116"/>
      <c r="D37" s="117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15" t="s">
        <v>184</v>
      </c>
      <c r="C38" s="116"/>
      <c r="D38" s="117"/>
      <c r="E38" s="9">
        <v>2</v>
      </c>
      <c r="F38" s="14" t="s">
        <v>27</v>
      </c>
      <c r="G38" s="1"/>
    </row>
    <row r="39" spans="1:7" ht="15" customHeight="1" x14ac:dyDescent="0.45">
      <c r="A39" s="1"/>
      <c r="B39" s="112" t="s">
        <v>226</v>
      </c>
      <c r="C39" s="113"/>
      <c r="D39" s="114"/>
      <c r="E39" s="10">
        <f>E37/E38</f>
        <v>0</v>
      </c>
      <c r="F39" s="17" t="s">
        <v>3</v>
      </c>
      <c r="G39" s="1"/>
    </row>
    <row r="40" spans="1:7" x14ac:dyDescent="0.45">
      <c r="A40" s="1"/>
      <c r="B40" s="101"/>
      <c r="C40" s="102"/>
      <c r="D40" s="102"/>
      <c r="E40" s="102"/>
      <c r="F40" s="103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m0C9mThEoYlYRXaH8c3+I8xVbBtSOzBTVKq9pRcRAuKO0rTfXrdj+B8etjygT/VXS452W3FmYE25wLxInjfrXQ==" saltValue="yswqlzt0HDQghMe8ZXtvr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5" t="s">
        <v>227</v>
      </c>
      <c r="C3" s="95"/>
      <c r="D3" s="95"/>
      <c r="E3" s="95"/>
      <c r="F3" s="95"/>
      <c r="G3" s="1"/>
    </row>
    <row r="4" spans="1:7" ht="15" customHeight="1" x14ac:dyDescent="0.45">
      <c r="A4" s="1"/>
      <c r="B4" s="95"/>
      <c r="C4" s="95"/>
      <c r="D4" s="95"/>
      <c r="E4" s="95"/>
      <c r="F4" s="9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158</v>
      </c>
      <c r="C8" s="102"/>
      <c r="D8" s="102"/>
      <c r="E8" s="102"/>
      <c r="F8" s="102"/>
      <c r="G8" s="1"/>
    </row>
    <row r="9" spans="1:7" ht="29.25" customHeight="1" x14ac:dyDescent="0.45">
      <c r="A9" s="1"/>
      <c r="B9" s="92" t="s">
        <v>163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49" t="s">
        <v>174</v>
      </c>
      <c r="C10" s="50"/>
      <c r="D10" s="5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jmUBZkl2UogPPN0XCfWCgoRjZlPRS1orf6shgaHWjuyyWnkclFChsPBuoGE2QEOQ9IOeStU1Eu96tt26D27n1A==" saltValue="LZOvvrLDX+P8goovzmG8W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8" t="s">
        <v>228</v>
      </c>
      <c r="C3" s="78"/>
      <c r="D3" s="78"/>
      <c r="E3" s="78"/>
      <c r="F3" s="78"/>
      <c r="G3" s="78"/>
      <c r="H3" s="78"/>
      <c r="I3" s="1"/>
    </row>
    <row r="4" spans="1:9" ht="15" customHeight="1" x14ac:dyDescent="0.4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229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4"/>
      <c r="I9" s="1"/>
    </row>
    <row r="10" spans="1:9" x14ac:dyDescent="0.45">
      <c r="A10" s="1"/>
      <c r="B10" s="38" t="s">
        <v>241</v>
      </c>
      <c r="C10" s="39"/>
      <c r="D10" s="9"/>
      <c r="E10" s="9"/>
      <c r="F10" s="9"/>
      <c r="G10" s="9"/>
      <c r="H10" s="14" t="s">
        <v>3</v>
      </c>
      <c r="I10" s="1"/>
    </row>
    <row r="11" spans="1:9" x14ac:dyDescent="0.45">
      <c r="A11" s="1"/>
      <c r="B11" s="101" t="s">
        <v>230</v>
      </c>
      <c r="C11" s="102"/>
      <c r="D11" s="10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VsIDyOfo1SDct6xy0IuLP1Ig+MJV42LsbZNR+YqlBS2yyihF632WJilj/W/vStvZTVY6FsOtKKUTH+eW9wDlw==" saltValue="vNCip56eIktr3FRcXcPQL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205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9" t="s">
        <v>136</v>
      </c>
      <c r="C8" s="50"/>
      <c r="D8" s="50"/>
      <c r="E8" s="50"/>
      <c r="F8" s="22"/>
      <c r="G8" s="1"/>
    </row>
    <row r="9" spans="1:7" ht="17.25" customHeight="1" x14ac:dyDescent="0.45">
      <c r="A9" s="1"/>
      <c r="B9" s="45" t="s">
        <v>24</v>
      </c>
      <c r="C9" s="45" t="s">
        <v>16</v>
      </c>
      <c r="D9" s="46"/>
      <c r="E9" s="45" t="s">
        <v>47</v>
      </c>
      <c r="F9" s="44"/>
      <c r="G9" s="1"/>
    </row>
    <row r="10" spans="1:7" x14ac:dyDescent="0.45">
      <c r="A10" s="1"/>
      <c r="B10" s="27" t="s">
        <v>242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0" t="s">
        <v>238</v>
      </c>
      <c r="C11" s="24">
        <v>0</v>
      </c>
      <c r="D11" s="14" t="s">
        <v>3</v>
      </c>
      <c r="E11" s="9">
        <v>27237</v>
      </c>
      <c r="F11" s="14" t="s">
        <v>3</v>
      </c>
      <c r="G11" s="1"/>
    </row>
    <row r="12" spans="1:7" x14ac:dyDescent="0.45">
      <c r="A12" s="1"/>
      <c r="B12" s="27" t="s">
        <v>239</v>
      </c>
      <c r="C12" s="24">
        <v>1075146</v>
      </c>
      <c r="D12" s="14" t="s">
        <v>3</v>
      </c>
      <c r="E12" s="9">
        <v>0</v>
      </c>
      <c r="F12" s="14" t="s">
        <v>3</v>
      </c>
      <c r="G12" s="1"/>
    </row>
    <row r="13" spans="1:7" x14ac:dyDescent="0.45">
      <c r="A13" s="1"/>
      <c r="B13" s="49" t="s">
        <v>63</v>
      </c>
      <c r="C13" s="12">
        <f>SUM(C10:C12)</f>
        <v>1075146</v>
      </c>
      <c r="D13" s="13" t="s">
        <v>3</v>
      </c>
      <c r="E13" s="12">
        <f>SUM(E10:E12)</f>
        <v>27237</v>
      </c>
      <c r="F13" s="13" t="s">
        <v>3</v>
      </c>
      <c r="G13" s="1"/>
    </row>
    <row r="14" spans="1:7" x14ac:dyDescent="0.45">
      <c r="A14" s="1"/>
      <c r="B14" s="49" t="s">
        <v>74</v>
      </c>
      <c r="C14" s="12">
        <f>C13*(1+'Fane 14. Nøgletal'!C12)</f>
        <v>1096326.3762000001</v>
      </c>
      <c r="D14" s="13" t="s">
        <v>3</v>
      </c>
      <c r="E14" s="12">
        <f>E13*(1+'Fane 14. Nøgletal'!C12)</f>
        <v>27773.568900000002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ndc1pQPvOL6GOhqr9ArD0ulLejon426TLZTC2zcwH3ez7GTIuoBxcDbT7+ibZBYCFqN5NWLTU/qQo9WliPtM6Q==" saltValue="/vxEbDOyQwVZqOHL41t5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206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167</v>
      </c>
      <c r="C8" s="102"/>
      <c r="D8" s="102"/>
      <c r="E8" s="102"/>
      <c r="F8" s="103"/>
      <c r="G8" s="1"/>
    </row>
    <row r="9" spans="1:7" x14ac:dyDescent="0.45">
      <c r="A9" s="1"/>
      <c r="B9" s="45" t="s">
        <v>24</v>
      </c>
      <c r="C9" s="45" t="s">
        <v>16</v>
      </c>
      <c r="D9" s="46"/>
      <c r="E9" s="45" t="s">
        <v>47</v>
      </c>
      <c r="F9" s="44"/>
      <c r="G9" s="1"/>
    </row>
    <row r="10" spans="1:7" x14ac:dyDescent="0.4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9" t="s">
        <v>171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175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49" t="s">
        <v>172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1" t="s">
        <v>168</v>
      </c>
      <c r="C16" s="102"/>
      <c r="D16" s="102"/>
      <c r="E16" s="102"/>
      <c r="F16" s="103"/>
      <c r="G16" s="1"/>
    </row>
    <row r="17" spans="1:7" x14ac:dyDescent="0.45">
      <c r="A17" s="1"/>
      <c r="B17" s="45" t="s">
        <v>24</v>
      </c>
      <c r="C17" s="45" t="s">
        <v>16</v>
      </c>
      <c r="D17" s="46"/>
      <c r="E17" s="45" t="s">
        <v>47</v>
      </c>
      <c r="F17" s="44"/>
      <c r="G17" s="1"/>
    </row>
    <row r="18" spans="1:7" x14ac:dyDescent="0.4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9" t="s">
        <v>171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175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49" t="s">
        <v>173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1" t="s">
        <v>169</v>
      </c>
      <c r="C24" s="102"/>
      <c r="D24" s="102"/>
      <c r="E24" s="102"/>
      <c r="F24" s="103"/>
      <c r="G24" s="1"/>
    </row>
    <row r="25" spans="1:7" x14ac:dyDescent="0.45">
      <c r="A25" s="1"/>
      <c r="B25" s="45" t="s">
        <v>24</v>
      </c>
      <c r="C25" s="45" t="s">
        <v>16</v>
      </c>
      <c r="D25" s="46"/>
      <c r="E25" s="45" t="s">
        <v>47</v>
      </c>
      <c r="F25" s="44"/>
      <c r="G25" s="1"/>
    </row>
    <row r="26" spans="1:7" x14ac:dyDescent="0.4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9" t="s">
        <v>171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175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49" t="s">
        <v>173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1" t="s">
        <v>170</v>
      </c>
      <c r="C32" s="102"/>
      <c r="D32" s="102"/>
      <c r="E32" s="102"/>
      <c r="F32" s="103"/>
      <c r="G32" s="1"/>
    </row>
    <row r="33" spans="1:7" x14ac:dyDescent="0.45">
      <c r="A33" s="1"/>
      <c r="B33" s="45" t="s">
        <v>24</v>
      </c>
      <c r="C33" s="45" t="s">
        <v>16</v>
      </c>
      <c r="D33" s="46"/>
      <c r="E33" s="45" t="s">
        <v>47</v>
      </c>
      <c r="F33" s="44"/>
      <c r="G33" s="1"/>
    </row>
    <row r="34" spans="1:7" x14ac:dyDescent="0.4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9" t="s">
        <v>171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175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49" t="s">
        <v>173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zInntwTR0tBtpVdpy+mGHpW+NTDOKa2kFyfAQbIeqvYCSLTnd4dXbtgRS2ZvMgtGcSe2JVAnuYIWfb6nIJU/uQ==" saltValue="No1LnJ9GHt8ZhJ/glFrf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5" t="s">
        <v>207</v>
      </c>
      <c r="C3" s="95"/>
      <c r="D3" s="95"/>
      <c r="E3" s="95"/>
      <c r="F3" s="95"/>
      <c r="G3" s="1"/>
    </row>
    <row r="4" spans="1:7" ht="25.5" customHeight="1" x14ac:dyDescent="0.45">
      <c r="A4" s="1"/>
      <c r="B4" s="95"/>
      <c r="C4" s="95"/>
      <c r="D4" s="95"/>
      <c r="E4" s="95"/>
      <c r="F4" s="9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31</v>
      </c>
      <c r="C8" s="102"/>
      <c r="D8" s="102"/>
      <c r="E8" s="102"/>
      <c r="F8" s="103"/>
      <c r="G8" s="1"/>
    </row>
    <row r="9" spans="1:7" ht="15" customHeight="1" x14ac:dyDescent="0.45">
      <c r="A9" s="1"/>
      <c r="B9" s="43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45">
      <c r="A10" s="1"/>
      <c r="B10" s="27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s6xZCr5taLgWxME9XzMswDk/cnVpmFTWHOIHJIGM4Kldlm9H5tGCf5Tg7VHonTxo7mhLSFKpJWtittVBEqtYEA==" saltValue="VHmkhaqlS/tjukaJCRvft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5" t="s">
        <v>208</v>
      </c>
      <c r="C3" s="95"/>
      <c r="D3" s="95"/>
      <c r="E3" s="95"/>
      <c r="F3" s="95"/>
      <c r="G3" s="1"/>
    </row>
    <row r="4" spans="1:7" ht="25.5" customHeight="1" x14ac:dyDescent="0.45">
      <c r="A4" s="1"/>
      <c r="B4" s="95"/>
      <c r="C4" s="95"/>
      <c r="D4" s="95"/>
      <c r="E4" s="95"/>
      <c r="F4" s="9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155</v>
      </c>
      <c r="C8" s="102"/>
      <c r="D8" s="102"/>
      <c r="E8" s="102"/>
      <c r="F8" s="103"/>
      <c r="G8" s="1"/>
    </row>
    <row r="9" spans="1:7" ht="15" customHeight="1" x14ac:dyDescent="0.45">
      <c r="A9" s="1"/>
      <c r="B9" s="43" t="s">
        <v>25</v>
      </c>
      <c r="C9" s="43" t="s">
        <v>16</v>
      </c>
      <c r="D9" s="44"/>
      <c r="E9" s="43" t="s">
        <v>47</v>
      </c>
      <c r="F9" s="44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01" t="s">
        <v>156</v>
      </c>
      <c r="C15" s="102"/>
      <c r="D15" s="102"/>
      <c r="E15" s="102"/>
      <c r="F15" s="103"/>
      <c r="G15" s="1"/>
    </row>
    <row r="16" spans="1:7" x14ac:dyDescent="0.45">
      <c r="A16" s="1"/>
      <c r="B16" s="43" t="s">
        <v>25</v>
      </c>
      <c r="C16" s="43" t="s">
        <v>16</v>
      </c>
      <c r="D16" s="44"/>
      <c r="E16" s="43" t="s">
        <v>47</v>
      </c>
      <c r="F16" s="44"/>
      <c r="G16" s="1"/>
    </row>
    <row r="17" spans="1:7" x14ac:dyDescent="0.45">
      <c r="A17" s="1"/>
      <c r="B17" s="27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9" t="s">
        <v>147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01" t="s">
        <v>154</v>
      </c>
      <c r="C22" s="102"/>
      <c r="D22" s="102"/>
      <c r="E22" s="102"/>
      <c r="F22" s="103"/>
      <c r="G22" s="1"/>
    </row>
    <row r="23" spans="1:7" x14ac:dyDescent="0.45">
      <c r="A23" s="1"/>
      <c r="B23" s="43" t="s">
        <v>25</v>
      </c>
      <c r="C23" s="43" t="s">
        <v>16</v>
      </c>
      <c r="D23" s="44"/>
      <c r="E23" s="43" t="s">
        <v>47</v>
      </c>
      <c r="F23" s="44"/>
      <c r="G23" s="1"/>
    </row>
    <row r="24" spans="1:7" x14ac:dyDescent="0.45">
      <c r="A24" s="1"/>
      <c r="B24" s="27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9" t="s">
        <v>148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01" t="s">
        <v>157</v>
      </c>
      <c r="C29" s="102"/>
      <c r="D29" s="102"/>
      <c r="E29" s="102"/>
      <c r="F29" s="103"/>
      <c r="G29" s="1"/>
    </row>
    <row r="30" spans="1:7" x14ac:dyDescent="0.45">
      <c r="A30" s="1"/>
      <c r="B30" s="43" t="s">
        <v>25</v>
      </c>
      <c r="C30" s="43" t="s">
        <v>16</v>
      </c>
      <c r="D30" s="44"/>
      <c r="E30" s="43" t="s">
        <v>47</v>
      </c>
      <c r="F30" s="44"/>
      <c r="G30" s="1"/>
    </row>
    <row r="31" spans="1:7" x14ac:dyDescent="0.45">
      <c r="A31" s="1"/>
      <c r="B31" s="27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9" t="s">
        <v>149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4epG92B562/zSl1i0/hk8p0MevDW7/wWX7hFS8nI7SEHJLtdsIeE92oowND8kKH5j/nhnZGNbAL2u+oQaxaExA==" saltValue="I/0ARrBy2eBcjjcsz6SG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8" t="s">
        <v>209</v>
      </c>
      <c r="C3" s="78"/>
      <c r="D3" s="78"/>
      <c r="E3" s="78"/>
      <c r="F3" s="78"/>
      <c r="G3" s="78"/>
      <c r="H3" s="78"/>
      <c r="I3" s="1"/>
    </row>
    <row r="4" spans="1:9" ht="15" customHeight="1" x14ac:dyDescent="0.4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18</v>
      </c>
      <c r="C8" s="102"/>
      <c r="D8" s="102"/>
      <c r="E8" s="102"/>
      <c r="F8" s="102"/>
      <c r="G8" s="102"/>
      <c r="H8" s="103"/>
      <c r="I8" s="1"/>
    </row>
    <row r="9" spans="1:9" x14ac:dyDescent="0.45">
      <c r="A9" s="1"/>
      <c r="B9" s="104" t="s">
        <v>12</v>
      </c>
      <c r="C9" s="105"/>
      <c r="D9" s="105"/>
      <c r="E9" s="105"/>
      <c r="F9" s="106"/>
      <c r="G9" s="9">
        <v>25910177</v>
      </c>
      <c r="H9" s="14" t="s">
        <v>3</v>
      </c>
      <c r="I9" s="1"/>
    </row>
    <row r="10" spans="1:9" x14ac:dyDescent="0.45">
      <c r="A10" s="1"/>
      <c r="B10" s="104" t="s">
        <v>134</v>
      </c>
      <c r="C10" s="105"/>
      <c r="D10" s="105"/>
      <c r="E10" s="105"/>
      <c r="F10" s="106"/>
      <c r="G10" s="9">
        <v>0</v>
      </c>
      <c r="H10" s="14" t="s">
        <v>3</v>
      </c>
      <c r="I10" s="1"/>
    </row>
    <row r="11" spans="1:9" x14ac:dyDescent="0.45">
      <c r="A11" s="1"/>
      <c r="B11" s="104" t="s">
        <v>80</v>
      </c>
      <c r="C11" s="105"/>
      <c r="D11" s="105"/>
      <c r="E11" s="105"/>
      <c r="F11" s="106"/>
      <c r="G11" s="9">
        <v>-22900685.486772485</v>
      </c>
      <c r="H11" s="14" t="s">
        <v>3</v>
      </c>
      <c r="I11" s="1"/>
    </row>
    <row r="12" spans="1:9" x14ac:dyDescent="0.45">
      <c r="A12" s="1"/>
      <c r="B12" s="118" t="s">
        <v>15</v>
      </c>
      <c r="C12" s="119"/>
      <c r="D12" s="119"/>
      <c r="E12" s="119"/>
      <c r="F12" s="120"/>
      <c r="G12" s="19">
        <f>(G9+G10)+G11</f>
        <v>3009491.5132275149</v>
      </c>
      <c r="H12" s="18" t="s">
        <v>3</v>
      </c>
      <c r="I12" s="1"/>
    </row>
    <row r="13" spans="1:9" x14ac:dyDescent="0.45">
      <c r="A13" s="1"/>
      <c r="B13" s="104" t="s">
        <v>13</v>
      </c>
      <c r="C13" s="105"/>
      <c r="D13" s="105"/>
      <c r="E13" s="105"/>
      <c r="F13" s="106"/>
      <c r="G13" s="9">
        <v>1</v>
      </c>
      <c r="H13" s="14" t="s">
        <v>27</v>
      </c>
      <c r="I13" s="1"/>
    </row>
    <row r="14" spans="1:9" x14ac:dyDescent="0.45">
      <c r="A14" s="1"/>
      <c r="B14" s="101" t="s">
        <v>135</v>
      </c>
      <c r="C14" s="102"/>
      <c r="D14" s="102"/>
      <c r="E14" s="102"/>
      <c r="F14" s="103"/>
      <c r="G14" s="12">
        <f>IF(G13 = 0,0,-G12/G13)</f>
        <v>-3009491.5132275149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1AT6h+HTJ8jcCOLMN4aG6Sa1NjQDUCbSEwMH7NFTCRCwKsN2Uyak3V/EZJdWQjFWsMp5+ClXWdxMyuImk4bcA==" saltValue="+3B4I+aN/utwe5Pt66kJh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5" t="s">
        <v>54</v>
      </c>
      <c r="C3" s="95"/>
      <c r="D3" s="1"/>
    </row>
    <row r="4" spans="1:4" ht="25.5" customHeight="1" x14ac:dyDescent="0.45">
      <c r="A4" s="1"/>
      <c r="B4" s="95"/>
      <c r="C4" s="9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9" t="s">
        <v>21</v>
      </c>
      <c r="C8" s="22"/>
      <c r="D8" s="1"/>
    </row>
    <row r="9" spans="1:4" x14ac:dyDescent="0.45">
      <c r="A9" s="1"/>
      <c r="B9" s="53" t="s">
        <v>210</v>
      </c>
      <c r="C9" s="28">
        <v>1.2699999999999999E-2</v>
      </c>
      <c r="D9" s="1"/>
    </row>
    <row r="10" spans="1:4" x14ac:dyDescent="0.45">
      <c r="A10" s="1"/>
      <c r="B10" s="53" t="s">
        <v>30</v>
      </c>
      <c r="C10" s="28">
        <v>1.7500000000000002E-2</v>
      </c>
      <c r="D10" s="1"/>
    </row>
    <row r="11" spans="1:4" x14ac:dyDescent="0.45">
      <c r="A11" s="1"/>
      <c r="B11" s="53" t="s">
        <v>211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101"/>
      <c r="C13" s="103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9" t="s">
        <v>180</v>
      </c>
      <c r="C16" s="22"/>
      <c r="D16" s="1"/>
    </row>
    <row r="17" spans="1:4" x14ac:dyDescent="0.45">
      <c r="A17" s="1"/>
      <c r="B17" s="53" t="s">
        <v>212</v>
      </c>
      <c r="C17" s="25">
        <v>9.1000000000000004E-3</v>
      </c>
      <c r="D17" s="1"/>
    </row>
    <row r="18" spans="1:4" x14ac:dyDescent="0.45">
      <c r="A18" s="1"/>
      <c r="B18" s="53" t="s">
        <v>213</v>
      </c>
      <c r="C18" s="25">
        <v>1.77E-2</v>
      </c>
      <c r="D18" s="1"/>
    </row>
    <row r="19" spans="1:4" x14ac:dyDescent="0.45">
      <c r="A19" s="1"/>
      <c r="B19" s="53" t="s">
        <v>214</v>
      </c>
      <c r="C19" s="25">
        <v>8.6999999999999994E-3</v>
      </c>
      <c r="D19" s="1"/>
    </row>
    <row r="20" spans="1:4" x14ac:dyDescent="0.45">
      <c r="A20" s="1"/>
      <c r="B20" s="53" t="s">
        <v>215</v>
      </c>
      <c r="C20" s="37">
        <v>2.8400000000000002E-2</v>
      </c>
      <c r="D20" s="1"/>
    </row>
    <row r="21" spans="1:4" x14ac:dyDescent="0.45">
      <c r="A21" s="1"/>
      <c r="B21" s="4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49" t="s">
        <v>181</v>
      </c>
      <c r="C24" s="22"/>
      <c r="D24" s="1"/>
    </row>
    <row r="25" spans="1:4" x14ac:dyDescent="0.45">
      <c r="A25" s="1"/>
      <c r="B25" s="53" t="s">
        <v>216</v>
      </c>
      <c r="C25" s="28">
        <v>0.02</v>
      </c>
      <c r="D25" s="1"/>
    </row>
    <row r="26" spans="1:4" x14ac:dyDescent="0.45">
      <c r="A26" s="1"/>
      <c r="B26" s="4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vea/MSAGWJz1yI9B32JpX5vbG8EhOsDizHZyeo9L2PWKzVbLkRH8npdJYc6cNUZ5rdjxux7qwcWc+57FzEKy3g==" saltValue="rQ8pgMBCzCCcSwIU4eZmR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8" t="s">
        <v>65</v>
      </c>
      <c r="C3" s="78"/>
      <c r="D3" s="78"/>
      <c r="E3" s="1"/>
    </row>
    <row r="4" spans="1:5" ht="15" customHeight="1" x14ac:dyDescent="0.45">
      <c r="A4" s="1"/>
      <c r="B4" s="78"/>
      <c r="C4" s="78"/>
      <c r="D4" s="7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9" t="s">
        <v>20</v>
      </c>
      <c r="C8" s="50"/>
      <c r="D8" s="22"/>
      <c r="E8" s="1"/>
    </row>
    <row r="9" spans="1:5" x14ac:dyDescent="0.45">
      <c r="A9" s="1"/>
      <c r="B9" s="48" t="s">
        <v>34</v>
      </c>
      <c r="C9" s="7">
        <f>'Fane 3. Omkostninger i ØR2019'!E22</f>
        <v>22474089.661116298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tillæg'!C14</f>
        <v>1096326.3762000001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tillæg'!E14</f>
        <v>27773.568900000002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401956.88419133541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drift'!G27</f>
        <v>-255883.86012352759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anlæg'!G26</f>
        <v>-98054.540991345202</v>
      </c>
      <c r="D19" s="8" t="s">
        <v>3</v>
      </c>
      <c r="E19" s="1"/>
    </row>
    <row r="20" spans="1:5" ht="17.100000000000001" customHeight="1" x14ac:dyDescent="0.45">
      <c r="A20" s="1"/>
      <c r="B20" s="55" t="s">
        <v>28</v>
      </c>
      <c r="C20" s="10">
        <f>SUM(C9:C19)</f>
        <v>23646208.089292765</v>
      </c>
      <c r="D20" s="11" t="s">
        <v>3</v>
      </c>
      <c r="E20" s="1"/>
    </row>
    <row r="21" spans="1:5" ht="15" customHeight="1" x14ac:dyDescent="0.45">
      <c r="A21" s="1"/>
      <c r="B21" s="49" t="s">
        <v>17</v>
      </c>
      <c r="C21" s="50"/>
      <c r="D21" s="22"/>
      <c r="E21" s="1"/>
    </row>
    <row r="22" spans="1:5" ht="15" customHeight="1" x14ac:dyDescent="0.45">
      <c r="A22" s="1"/>
      <c r="B22" s="43" t="s">
        <v>17</v>
      </c>
      <c r="C22" s="10">
        <f>'Fane 6. Ikke-påvirkelige omk.'!C16</f>
        <v>16355851.058878651</v>
      </c>
      <c r="D22" s="11" t="s">
        <v>3</v>
      </c>
      <c r="E22" s="1"/>
    </row>
    <row r="23" spans="1:5" ht="15" customHeight="1" x14ac:dyDescent="0.45">
      <c r="A23" s="1"/>
      <c r="B23" s="49" t="s">
        <v>141</v>
      </c>
      <c r="C23" s="50"/>
      <c r="D23" s="22"/>
      <c r="E23" s="1"/>
    </row>
    <row r="24" spans="1:5" ht="15" customHeight="1" x14ac:dyDescent="0.45">
      <c r="A24" s="1"/>
      <c r="B24" s="32" t="s">
        <v>137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138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5" t="s">
        <v>142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49" t="s">
        <v>11</v>
      </c>
      <c r="C27" s="50"/>
      <c r="D27" s="22"/>
      <c r="E27" s="1"/>
    </row>
    <row r="28" spans="1:5" ht="15" customHeight="1" x14ac:dyDescent="0.45">
      <c r="A28" s="1"/>
      <c r="B28" s="43" t="s">
        <v>19</v>
      </c>
      <c r="C28" s="10">
        <f>'Fane 13. Hist. over-underdæk.'!G14</f>
        <v>-3009491.5132275149</v>
      </c>
      <c r="D28" s="11" t="s">
        <v>3</v>
      </c>
      <c r="E28" s="1"/>
    </row>
    <row r="29" spans="1:5" ht="15" customHeight="1" x14ac:dyDescent="0.45">
      <c r="A29" s="1"/>
      <c r="B29" s="49" t="s">
        <v>53</v>
      </c>
      <c r="C29" s="50"/>
      <c r="D29" s="22"/>
      <c r="E29" s="1"/>
    </row>
    <row r="30" spans="1:5" x14ac:dyDescent="0.45">
      <c r="A30" s="1"/>
      <c r="B30" s="43" t="s">
        <v>217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49" t="s">
        <v>224</v>
      </c>
      <c r="C31" s="50"/>
      <c r="D31" s="22"/>
      <c r="E31" s="1"/>
    </row>
    <row r="32" spans="1:5" x14ac:dyDescent="0.45">
      <c r="A32" s="1"/>
      <c r="B32" s="43" t="s">
        <v>225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49" t="s">
        <v>35</v>
      </c>
      <c r="C33" s="33">
        <f>SUM(C20,C22,C26,C28,C30,C32)</f>
        <v>36992567.634943902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ZnBDTE5tOWtLhBaTFkAdmLVsjwCw8OmZAMazC2TxwDv8LD9D60CMs7tP/RheGk5I8sEgX5uRI7u6542+ZClpxA==" saltValue="k4ysZBnTYbGB3ih074ALi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8" t="s">
        <v>85</v>
      </c>
      <c r="C3" s="78"/>
      <c r="D3" s="78"/>
      <c r="E3" s="1"/>
    </row>
    <row r="4" spans="1:5" ht="15" customHeight="1" x14ac:dyDescent="0.45">
      <c r="A4" s="1"/>
      <c r="B4" s="78"/>
      <c r="C4" s="78"/>
      <c r="D4" s="78"/>
      <c r="E4" s="1"/>
    </row>
    <row r="5" spans="1:5" x14ac:dyDescent="0.45">
      <c r="A5" s="1"/>
      <c r="B5" s="79" t="s">
        <v>29</v>
      </c>
      <c r="C5" s="79"/>
      <c r="D5" s="7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9" t="s">
        <v>20</v>
      </c>
      <c r="C8" s="50"/>
      <c r="D8" s="22"/>
      <c r="E8" s="1"/>
    </row>
    <row r="9" spans="1:5" ht="15" customHeight="1" x14ac:dyDescent="0.45">
      <c r="A9" s="1"/>
      <c r="B9" s="48" t="s">
        <v>36</v>
      </c>
      <c r="C9" s="7">
        <f>'Fane 2.1. Økonomisk ramme 2020'!C20</f>
        <v>23646208.089292765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41" t="s">
        <v>26</v>
      </c>
      <c r="C12" s="9">
        <f>SUM(C9:C11)*'Fane 14. Nøgletal'!C12</f>
        <v>465830.29935906746</v>
      </c>
      <c r="D12" s="8" t="s">
        <v>3</v>
      </c>
      <c r="E12" s="1"/>
    </row>
    <row r="13" spans="1:5" ht="15" customHeight="1" x14ac:dyDescent="0.4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41" t="s">
        <v>38</v>
      </c>
      <c r="C14" s="9">
        <f>-'Fane 4.1. Gen. krav - drift'!G33</f>
        <v>-255706.27672460183</v>
      </c>
      <c r="D14" s="8" t="s">
        <v>3</v>
      </c>
      <c r="E14" s="1"/>
    </row>
    <row r="15" spans="1:5" ht="15" customHeight="1" x14ac:dyDescent="0.45">
      <c r="A15" s="1"/>
      <c r="B15" s="41" t="s">
        <v>39</v>
      </c>
      <c r="C15" s="9">
        <f>-'Fane 4.2. Gen. krav - anlæg'!G32</f>
        <v>-321695.04722660786</v>
      </c>
      <c r="D15" s="8" t="s">
        <v>3</v>
      </c>
      <c r="E15" s="1"/>
    </row>
    <row r="16" spans="1:5" ht="15" customHeight="1" x14ac:dyDescent="0.45">
      <c r="A16" s="1"/>
      <c r="B16" s="42" t="s">
        <v>28</v>
      </c>
      <c r="C16" s="10">
        <f>SUM(C9:C15)</f>
        <v>23534637.064700622</v>
      </c>
      <c r="D16" s="11" t="s">
        <v>3</v>
      </c>
      <c r="E16" s="1"/>
    </row>
    <row r="17" spans="1:5" x14ac:dyDescent="0.45">
      <c r="A17" s="1"/>
      <c r="B17" s="49" t="s">
        <v>17</v>
      </c>
      <c r="C17" s="50"/>
      <c r="D17" s="22"/>
      <c r="E17" s="1"/>
    </row>
    <row r="18" spans="1:5" ht="15" customHeight="1" x14ac:dyDescent="0.45">
      <c r="A18" s="1"/>
      <c r="B18" s="43" t="s">
        <v>17</v>
      </c>
      <c r="C18" s="10">
        <f>'Fane 6. Ikke-påvirkelige omk.'!C16*(1+'Fane 14. Nøgletal'!C12)</f>
        <v>16678061.32473856</v>
      </c>
      <c r="D18" s="11" t="s">
        <v>3</v>
      </c>
      <c r="E18" s="1"/>
    </row>
    <row r="19" spans="1:5" ht="15" customHeight="1" x14ac:dyDescent="0.45">
      <c r="A19" s="1"/>
      <c r="B19" s="49" t="s">
        <v>141</v>
      </c>
      <c r="C19" s="50"/>
      <c r="D19" s="22"/>
      <c r="E19" s="1"/>
    </row>
    <row r="20" spans="1:5" ht="15" customHeight="1" x14ac:dyDescent="0.45">
      <c r="A20" s="1"/>
      <c r="B20" s="32" t="s">
        <v>137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138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5" t="s">
        <v>142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49" t="s">
        <v>159</v>
      </c>
      <c r="C23" s="50"/>
      <c r="D23" s="22"/>
      <c r="E23" s="1"/>
    </row>
    <row r="24" spans="1:5" ht="15" customHeight="1" x14ac:dyDescent="0.45">
      <c r="A24" s="1"/>
      <c r="B24" s="43" t="s">
        <v>194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49" t="s">
        <v>44</v>
      </c>
      <c r="C25" s="12">
        <f>SUM(C16,C18,C22,C24)</f>
        <v>40212698.38943918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RSgf24fsSurl2j8RwZCyyJGZ3sIcUOQcIUsj/w8cusY0/pKPn8iaFk1s6MHBvC7Jen2YSHeovJ363KiqblbYdw==" saltValue="iiCHLBeSTcqNlH5YBqZA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8" t="s">
        <v>192</v>
      </c>
      <c r="C3" s="78"/>
      <c r="D3" s="78"/>
      <c r="E3" s="1"/>
    </row>
    <row r="4" spans="1:5" ht="15" customHeight="1" x14ac:dyDescent="0.45">
      <c r="A4" s="1"/>
      <c r="B4" s="78"/>
      <c r="C4" s="78"/>
      <c r="D4" s="78"/>
      <c r="E4" s="1"/>
    </row>
    <row r="5" spans="1:5" x14ac:dyDescent="0.45">
      <c r="A5" s="1"/>
      <c r="B5" s="79" t="s">
        <v>29</v>
      </c>
      <c r="C5" s="79"/>
      <c r="D5" s="7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9" t="s">
        <v>20</v>
      </c>
      <c r="C7" s="50"/>
      <c r="D7" s="22"/>
      <c r="E7" s="1"/>
    </row>
    <row r="8" spans="1:5" ht="15" customHeight="1" x14ac:dyDescent="0.45">
      <c r="A8" s="1"/>
      <c r="B8" s="48" t="s">
        <v>37</v>
      </c>
      <c r="C8" s="7">
        <f>'Fane 2.2. Økonomisk ramme 2021'!C16</f>
        <v>23534637.064700622</v>
      </c>
      <c r="D8" s="8" t="s">
        <v>3</v>
      </c>
      <c r="E8" s="1"/>
    </row>
    <row r="9" spans="1:5" ht="15" customHeight="1" x14ac:dyDescent="0.45">
      <c r="A9" s="1"/>
      <c r="B9" s="48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41" t="s">
        <v>26</v>
      </c>
      <c r="C11" s="9">
        <f>SUM(C8:C10)*'Fane 14. Nøgletal'!C12</f>
        <v>463632.35017460224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38</v>
      </c>
      <c r="C13" s="9">
        <f>-'Fane 4.1. Gen. krav - drift'!G39</f>
        <v>-255528.81656855499</v>
      </c>
      <c r="D13" s="8" t="s">
        <v>3</v>
      </c>
      <c r="E13" s="1"/>
    </row>
    <row r="14" spans="1:5" ht="15" customHeight="1" x14ac:dyDescent="0.45">
      <c r="A14" s="1"/>
      <c r="B14" s="41" t="s">
        <v>39</v>
      </c>
      <c r="C14" s="9">
        <f>-'Fane 4.2. Gen. krav - anlæg'!G38</f>
        <v>-318716.31837071403</v>
      </c>
      <c r="D14" s="8" t="s">
        <v>3</v>
      </c>
      <c r="E14" s="1"/>
    </row>
    <row r="15" spans="1:5" x14ac:dyDescent="0.45">
      <c r="A15" s="1"/>
      <c r="B15" s="42" t="s">
        <v>28</v>
      </c>
      <c r="C15" s="10">
        <f>SUM(C8:C14)</f>
        <v>23424024.279935956</v>
      </c>
      <c r="D15" s="11" t="s">
        <v>3</v>
      </c>
      <c r="E15" s="1"/>
    </row>
    <row r="16" spans="1:5" x14ac:dyDescent="0.45">
      <c r="A16" s="1"/>
      <c r="B16" s="49" t="s">
        <v>17</v>
      </c>
      <c r="C16" s="50"/>
      <c r="D16" s="22"/>
      <c r="E16" s="1"/>
    </row>
    <row r="17" spans="1:5" ht="15" customHeight="1" x14ac:dyDescent="0.45">
      <c r="A17" s="1"/>
      <c r="B17" s="43" t="s">
        <v>17</v>
      </c>
      <c r="C17" s="10">
        <f>'Fane 6. Ikke-påvirkelige omk.'!C16*(1+'Fane 14. Nøgletal'!C12)^2</f>
        <v>17006619.13283591</v>
      </c>
      <c r="D17" s="11" t="s">
        <v>3</v>
      </c>
      <c r="E17" s="1"/>
    </row>
    <row r="18" spans="1:5" ht="15" customHeight="1" x14ac:dyDescent="0.45">
      <c r="A18" s="1"/>
      <c r="B18" s="49" t="s">
        <v>141</v>
      </c>
      <c r="C18" s="50"/>
      <c r="D18" s="22"/>
      <c r="E18" s="1"/>
    </row>
    <row r="19" spans="1:5" ht="15" customHeight="1" x14ac:dyDescent="0.45">
      <c r="A19" s="1"/>
      <c r="B19" s="32" t="s">
        <v>137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138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5" t="s">
        <v>142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9" t="s">
        <v>159</v>
      </c>
      <c r="C22" s="50"/>
      <c r="D22" s="22"/>
      <c r="E22" s="1"/>
    </row>
    <row r="23" spans="1:5" ht="15" customHeight="1" x14ac:dyDescent="0.45">
      <c r="A23" s="1"/>
      <c r="B23" s="43" t="s">
        <v>194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49" t="s">
        <v>45</v>
      </c>
      <c r="C24" s="12">
        <f>SUM(C15,C17,C21,C23)</f>
        <v>40430643.412771866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Zoxsmn2KXualNYbP2ZAxbPBaD4vP4xkgoeI/Jhdl9gmB6fjnww+ze7NfdyQltI62S67xchEwOhkKaV3jV+5zYA==" saltValue="Oy8dDjiZcaN9YejpYkix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8" t="s">
        <v>193</v>
      </c>
      <c r="C3" s="78"/>
      <c r="D3" s="78"/>
      <c r="E3" s="1"/>
    </row>
    <row r="4" spans="1:5" ht="15" customHeight="1" x14ac:dyDescent="0.45">
      <c r="A4" s="1"/>
      <c r="B4" s="78"/>
      <c r="C4" s="78"/>
      <c r="D4" s="78"/>
      <c r="E4" s="1"/>
    </row>
    <row r="5" spans="1:5" x14ac:dyDescent="0.45">
      <c r="A5" s="1"/>
      <c r="B5" s="79" t="s">
        <v>29</v>
      </c>
      <c r="C5" s="79"/>
      <c r="D5" s="7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9" t="s">
        <v>20</v>
      </c>
      <c r="C7" s="50"/>
      <c r="D7" s="22"/>
      <c r="E7" s="1"/>
    </row>
    <row r="8" spans="1:5" ht="15" customHeight="1" x14ac:dyDescent="0.45">
      <c r="A8" s="1"/>
      <c r="B8" s="48" t="s">
        <v>245</v>
      </c>
      <c r="C8" s="7">
        <f>'Fane 2.3. Økonomisk ramme 2022'!C15</f>
        <v>23424024.279935956</v>
      </c>
      <c r="D8" s="8" t="s">
        <v>3</v>
      </c>
      <c r="E8" s="1"/>
    </row>
    <row r="9" spans="1:5" ht="15" customHeight="1" x14ac:dyDescent="0.45">
      <c r="A9" s="1"/>
      <c r="B9" s="48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41" t="s">
        <v>26</v>
      </c>
      <c r="C11" s="9">
        <f>C8*'Fane 14. Nøgletal'!C12</f>
        <v>461453.2783147383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38</v>
      </c>
      <c r="C13" s="9">
        <f>-'Fane 4.1. Gen. krav - drift'!G45</f>
        <v>-255351.47956985643</v>
      </c>
      <c r="D13" s="8" t="s">
        <v>3</v>
      </c>
      <c r="E13" s="1"/>
    </row>
    <row r="14" spans="1:5" ht="15" customHeight="1" x14ac:dyDescent="0.45">
      <c r="A14" s="1"/>
      <c r="B14" s="41" t="s">
        <v>39</v>
      </c>
      <c r="C14" s="9">
        <f>-'Fane 4.2. Gen. krav - anlæg'!G44</f>
        <v>-315765.17099508672</v>
      </c>
      <c r="D14" s="8" t="s">
        <v>3</v>
      </c>
      <c r="E14" s="1"/>
    </row>
    <row r="15" spans="1:5" x14ac:dyDescent="0.45">
      <c r="A15" s="1"/>
      <c r="B15" s="42" t="s">
        <v>28</v>
      </c>
      <c r="C15" s="10">
        <f>SUM(C8:C14)</f>
        <v>23314360.907685753</v>
      </c>
      <c r="D15" s="11" t="s">
        <v>3</v>
      </c>
      <c r="E15" s="1"/>
    </row>
    <row r="16" spans="1:5" x14ac:dyDescent="0.45">
      <c r="A16" s="1"/>
      <c r="B16" s="49" t="s">
        <v>17</v>
      </c>
      <c r="C16" s="50"/>
      <c r="D16" s="22"/>
      <c r="E16" s="1"/>
    </row>
    <row r="17" spans="1:5" ht="15" customHeight="1" x14ac:dyDescent="0.45">
      <c r="A17" s="1"/>
      <c r="B17" s="43" t="s">
        <v>17</v>
      </c>
      <c r="C17" s="10">
        <f>'Fane 6. Ikke-påvirkelige omk.'!C16*(1+'Fane 14. Nøgletal'!C12)^3</f>
        <v>17341649.529752776</v>
      </c>
      <c r="D17" s="11" t="s">
        <v>3</v>
      </c>
      <c r="E17" s="1"/>
    </row>
    <row r="18" spans="1:5" ht="15" customHeight="1" x14ac:dyDescent="0.45">
      <c r="A18" s="1"/>
      <c r="B18" s="49" t="s">
        <v>141</v>
      </c>
      <c r="C18" s="50"/>
      <c r="D18" s="22"/>
      <c r="E18" s="1"/>
    </row>
    <row r="19" spans="1:5" ht="15" customHeight="1" x14ac:dyDescent="0.45">
      <c r="A19" s="1"/>
      <c r="B19" s="32" t="s">
        <v>137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138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5" t="s">
        <v>142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9" t="s">
        <v>153</v>
      </c>
      <c r="C22" s="12">
        <f>SUM(C15,C17,C21)</f>
        <v>40656010.437438533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SK0macYS5h6VcMCpwqtI5oxtCbgG1FIyUwPoOL3z+IIpEoo3ye3dRc1W9Ch5gfzxPrUWNzDmT/BYDnOp+B6L/Q==" saltValue="a50LK3uhuHhSKzooeOsB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5" t="s">
        <v>220</v>
      </c>
      <c r="C3" s="95"/>
      <c r="D3" s="95"/>
      <c r="E3" s="95"/>
      <c r="F3" s="95"/>
      <c r="G3" s="1"/>
    </row>
    <row r="4" spans="1:7" ht="29.25" customHeight="1" x14ac:dyDescent="0.45">
      <c r="A4" s="1"/>
      <c r="B4" s="95"/>
      <c r="C4" s="95"/>
      <c r="D4" s="95"/>
      <c r="E4" s="95"/>
      <c r="F4" s="9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9" t="s">
        <v>84</v>
      </c>
      <c r="C8" s="50"/>
      <c r="D8" s="50"/>
      <c r="E8" s="50"/>
      <c r="F8" s="22"/>
      <c r="G8" s="1"/>
    </row>
    <row r="9" spans="1:7" x14ac:dyDescent="0.45">
      <c r="A9" s="1"/>
      <c r="B9" s="96" t="s">
        <v>81</v>
      </c>
      <c r="C9" s="97"/>
      <c r="D9" s="98"/>
      <c r="E9" s="7">
        <v>22214664.073699981</v>
      </c>
      <c r="F9" s="8" t="s">
        <v>3</v>
      </c>
      <c r="G9" s="1"/>
    </row>
    <row r="10" spans="1:7" x14ac:dyDescent="0.45">
      <c r="A10" s="1"/>
      <c r="B10" s="96" t="s">
        <v>82</v>
      </c>
      <c r="C10" s="97"/>
      <c r="D10" s="98"/>
      <c r="E10" s="7">
        <v>231381.17393431239</v>
      </c>
      <c r="F10" s="8" t="s">
        <v>3</v>
      </c>
      <c r="G10" s="1"/>
    </row>
    <row r="11" spans="1:7" x14ac:dyDescent="0.45">
      <c r="A11" s="1"/>
      <c r="B11" s="96" t="s">
        <v>83</v>
      </c>
      <c r="C11" s="97"/>
      <c r="D11" s="98"/>
      <c r="E11" s="7">
        <v>-20148.888962130735</v>
      </c>
      <c r="F11" s="8" t="s">
        <v>3</v>
      </c>
      <c r="G11" s="1"/>
    </row>
    <row r="12" spans="1:7" x14ac:dyDescent="0.45">
      <c r="A12" s="1"/>
      <c r="B12" s="83" t="s">
        <v>67</v>
      </c>
      <c r="C12" s="84"/>
      <c r="D12" s="85"/>
      <c r="E12" s="7">
        <v>0</v>
      </c>
      <c r="F12" s="8" t="s">
        <v>3</v>
      </c>
      <c r="G12" s="1"/>
    </row>
    <row r="13" spans="1:7" x14ac:dyDescent="0.45">
      <c r="A13" s="1"/>
      <c r="B13" s="83" t="s">
        <v>68</v>
      </c>
      <c r="C13" s="84"/>
      <c r="D13" s="85"/>
      <c r="E13" s="9">
        <v>0</v>
      </c>
      <c r="F13" s="8" t="s">
        <v>3</v>
      </c>
      <c r="G13" s="1"/>
    </row>
    <row r="14" spans="1:7" x14ac:dyDescent="0.45">
      <c r="A14" s="1"/>
      <c r="B14" s="83" t="s">
        <v>41</v>
      </c>
      <c r="C14" s="84"/>
      <c r="D14" s="85"/>
      <c r="E14" s="9">
        <v>0</v>
      </c>
      <c r="F14" s="8" t="s">
        <v>3</v>
      </c>
      <c r="G14" s="1"/>
    </row>
    <row r="15" spans="1:7" x14ac:dyDescent="0.45">
      <c r="A15" s="1"/>
      <c r="B15" s="83" t="s">
        <v>40</v>
      </c>
      <c r="C15" s="84"/>
      <c r="D15" s="85"/>
      <c r="E15" s="9">
        <v>0</v>
      </c>
      <c r="F15" s="8" t="s">
        <v>3</v>
      </c>
      <c r="G15" s="1"/>
    </row>
    <row r="16" spans="1:7" x14ac:dyDescent="0.45">
      <c r="A16" s="1"/>
      <c r="B16" s="83" t="s">
        <v>43</v>
      </c>
      <c r="C16" s="84"/>
      <c r="D16" s="85"/>
      <c r="E16" s="9">
        <v>0</v>
      </c>
      <c r="F16" s="8" t="s">
        <v>3</v>
      </c>
      <c r="G16" s="1"/>
    </row>
    <row r="17" spans="1:7" x14ac:dyDescent="0.45">
      <c r="A17" s="1"/>
      <c r="B17" s="83" t="s">
        <v>42</v>
      </c>
      <c r="C17" s="84"/>
      <c r="D17" s="85"/>
      <c r="E17" s="9">
        <v>0</v>
      </c>
      <c r="F17" s="8" t="s">
        <v>3</v>
      </c>
      <c r="G17" s="1"/>
    </row>
    <row r="18" spans="1:7" x14ac:dyDescent="0.45">
      <c r="A18" s="1"/>
      <c r="B18" s="83" t="s">
        <v>26</v>
      </c>
      <c r="C18" s="84"/>
      <c r="D18" s="85"/>
      <c r="E18" s="9">
        <f>SUM(E9:E17)*'Fane 14. Nøgletal'!C11</f>
        <v>378997.6484615595</v>
      </c>
      <c r="F18" s="8" t="s">
        <v>3</v>
      </c>
      <c r="G18" s="1"/>
    </row>
    <row r="19" spans="1:7" x14ac:dyDescent="0.45">
      <c r="A19" s="1"/>
      <c r="B19" s="83" t="s">
        <v>10</v>
      </c>
      <c r="C19" s="84"/>
      <c r="D19" s="85"/>
      <c r="E19" s="9">
        <f>-SUM(E9:E18)*'Fane 5. Individuelt eff. krav'!G10</f>
        <v>0</v>
      </c>
      <c r="F19" s="8" t="s">
        <v>3</v>
      </c>
      <c r="G19" s="1"/>
    </row>
    <row r="20" spans="1:7" x14ac:dyDescent="0.45">
      <c r="A20" s="1"/>
      <c r="B20" s="83" t="s">
        <v>38</v>
      </c>
      <c r="C20" s="84"/>
      <c r="D20" s="85"/>
      <c r="E20" s="9">
        <f>-'Fane 4.1. Gen. krav - drift'!G21</f>
        <v>-234331.01001975272</v>
      </c>
      <c r="F20" s="8" t="s">
        <v>3</v>
      </c>
      <c r="G20" s="1"/>
    </row>
    <row r="21" spans="1:7" x14ac:dyDescent="0.45">
      <c r="A21" s="1"/>
      <c r="B21" s="83" t="s">
        <v>39</v>
      </c>
      <c r="C21" s="84"/>
      <c r="D21" s="85"/>
      <c r="E21" s="9">
        <f>-'Fane 4.2. Gen. krav - anlæg'!G20</f>
        <v>-96473.335997667891</v>
      </c>
      <c r="F21" s="8" t="s">
        <v>3</v>
      </c>
      <c r="G21" s="1"/>
    </row>
    <row r="22" spans="1:7" x14ac:dyDescent="0.45">
      <c r="A22" s="1"/>
      <c r="B22" s="86" t="s">
        <v>28</v>
      </c>
      <c r="C22" s="87"/>
      <c r="D22" s="88"/>
      <c r="E22" s="10">
        <f>SUM(E9:E21)</f>
        <v>22474089.661116298</v>
      </c>
      <c r="F22" s="11" t="s">
        <v>3</v>
      </c>
      <c r="G22" s="1"/>
    </row>
    <row r="23" spans="1:7" x14ac:dyDescent="0.45">
      <c r="A23" s="1"/>
      <c r="B23" s="99" t="s">
        <v>17</v>
      </c>
      <c r="C23" s="100"/>
      <c r="D23" s="100"/>
      <c r="E23" s="50"/>
      <c r="F23" s="22"/>
      <c r="G23" s="1"/>
    </row>
    <row r="24" spans="1:7" x14ac:dyDescent="0.45">
      <c r="A24" s="1"/>
      <c r="B24" s="89" t="s">
        <v>17</v>
      </c>
      <c r="C24" s="90"/>
      <c r="D24" s="91"/>
      <c r="E24" s="10">
        <v>15779390.492019087</v>
      </c>
      <c r="F24" s="11" t="s">
        <v>3</v>
      </c>
      <c r="G24" s="1"/>
    </row>
    <row r="25" spans="1:7" x14ac:dyDescent="0.45">
      <c r="A25" s="1"/>
      <c r="B25" s="49" t="s">
        <v>129</v>
      </c>
      <c r="C25" s="50"/>
      <c r="D25" s="50"/>
      <c r="E25" s="50"/>
      <c r="F25" s="22"/>
      <c r="G25" s="1"/>
    </row>
    <row r="26" spans="1:7" ht="27" customHeight="1" x14ac:dyDescent="0.45">
      <c r="A26" s="1"/>
      <c r="B26" s="92" t="s">
        <v>131</v>
      </c>
      <c r="C26" s="93"/>
      <c r="D26" s="94"/>
      <c r="E26" s="10">
        <v>85760.286400448022</v>
      </c>
      <c r="F26" s="11" t="s">
        <v>3</v>
      </c>
      <c r="G26" s="1"/>
    </row>
    <row r="27" spans="1:7" x14ac:dyDescent="0.45">
      <c r="A27" s="1"/>
      <c r="B27" s="49" t="s">
        <v>11</v>
      </c>
      <c r="C27" s="50"/>
      <c r="D27" s="50"/>
      <c r="E27" s="50"/>
      <c r="F27" s="22"/>
      <c r="G27" s="1"/>
    </row>
    <row r="28" spans="1:7" x14ac:dyDescent="0.45">
      <c r="A28" s="1"/>
      <c r="B28" s="89" t="s">
        <v>19</v>
      </c>
      <c r="C28" s="90"/>
      <c r="D28" s="91"/>
      <c r="E28" s="10">
        <v>-3009491</v>
      </c>
      <c r="F28" s="11" t="s">
        <v>3</v>
      </c>
      <c r="G28" s="1"/>
    </row>
    <row r="29" spans="1:7" x14ac:dyDescent="0.45">
      <c r="A29" s="1"/>
      <c r="B29" s="49" t="s">
        <v>159</v>
      </c>
      <c r="C29" s="50"/>
      <c r="D29" s="50"/>
      <c r="E29" s="50"/>
      <c r="F29" s="22"/>
      <c r="G29" s="1"/>
    </row>
    <row r="30" spans="1:7" x14ac:dyDescent="0.45">
      <c r="A30" s="1"/>
      <c r="B30" s="89" t="s">
        <v>130</v>
      </c>
      <c r="C30" s="90"/>
      <c r="D30" s="91"/>
      <c r="E30" s="10">
        <v>0</v>
      </c>
      <c r="F30" s="11" t="s">
        <v>3</v>
      </c>
      <c r="G30" s="1"/>
    </row>
    <row r="31" spans="1:7" x14ac:dyDescent="0.45">
      <c r="A31" s="1"/>
      <c r="B31" s="49" t="s">
        <v>23</v>
      </c>
      <c r="C31" s="50"/>
      <c r="D31" s="50"/>
      <c r="E31" s="12">
        <f>SUM(E28,E26,E24,E22,E30)</f>
        <v>35329749.439535834</v>
      </c>
      <c r="F31" s="13" t="s">
        <v>3</v>
      </c>
      <c r="G31" s="1"/>
    </row>
    <row r="32" spans="1:7" ht="28.15" customHeight="1" x14ac:dyDescent="0.45">
      <c r="A32" s="1"/>
      <c r="B32" s="80" t="s">
        <v>188</v>
      </c>
      <c r="C32" s="81"/>
      <c r="D32" s="81"/>
      <c r="E32" s="81"/>
      <c r="F32" s="82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AR9pUZBJhT3zv0lEGkXPZ4BYANt/rdCEDiqJ6rzj08dqe0vKfVJCXcka+pyOomWyEeYq68ZlNb5fzXr1SYUT1Q==" saltValue="fKvvqcPba6jKxMVfR1mDd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8" t="s">
        <v>201</v>
      </c>
      <c r="C2" s="78"/>
      <c r="D2" s="78"/>
      <c r="E2" s="78"/>
      <c r="F2" s="78"/>
      <c r="G2" s="78"/>
      <c r="H2" s="78"/>
      <c r="I2" s="1"/>
    </row>
    <row r="3" spans="1:9" ht="15" customHeight="1" x14ac:dyDescent="0.4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4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45">
      <c r="A5" s="1"/>
      <c r="B5" s="101" t="s">
        <v>97</v>
      </c>
      <c r="C5" s="102"/>
      <c r="D5" s="102"/>
      <c r="E5" s="102"/>
      <c r="F5" s="102"/>
      <c r="G5" s="102"/>
      <c r="H5" s="103"/>
      <c r="I5" s="1"/>
    </row>
    <row r="6" spans="1:9" x14ac:dyDescent="0.45">
      <c r="A6" s="1"/>
      <c r="B6" s="104" t="s">
        <v>86</v>
      </c>
      <c r="C6" s="105"/>
      <c r="D6" s="105"/>
      <c r="E6" s="105"/>
      <c r="F6" s="106"/>
      <c r="G6" s="26">
        <v>11376379</v>
      </c>
      <c r="H6" s="14" t="s">
        <v>3</v>
      </c>
      <c r="I6" s="1"/>
    </row>
    <row r="7" spans="1:9" x14ac:dyDescent="0.45">
      <c r="A7" s="1"/>
      <c r="B7" s="104" t="s">
        <v>87</v>
      </c>
      <c r="C7" s="105"/>
      <c r="D7" s="105"/>
      <c r="E7" s="105"/>
      <c r="F7" s="106"/>
      <c r="G7" s="26">
        <f>G6*'Fane 14. Nøgletal'!C25</f>
        <v>227527.58000000002</v>
      </c>
      <c r="H7" s="14" t="s">
        <v>3</v>
      </c>
      <c r="I7" s="1"/>
    </row>
    <row r="8" spans="1:9" x14ac:dyDescent="0.45">
      <c r="A8" s="1"/>
      <c r="B8" s="49"/>
      <c r="C8" s="50"/>
      <c r="D8" s="50"/>
      <c r="E8" s="50"/>
      <c r="F8" s="50"/>
      <c r="G8" s="5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1" t="s">
        <v>98</v>
      </c>
      <c r="C10" s="102"/>
      <c r="D10" s="102"/>
      <c r="E10" s="102"/>
      <c r="F10" s="102"/>
      <c r="G10" s="102"/>
      <c r="H10" s="103"/>
      <c r="I10" s="1"/>
    </row>
    <row r="11" spans="1:9" x14ac:dyDescent="0.45">
      <c r="A11" s="1"/>
      <c r="B11" s="104" t="s">
        <v>88</v>
      </c>
      <c r="C11" s="105"/>
      <c r="D11" s="105"/>
      <c r="E11" s="105"/>
      <c r="F11" s="106"/>
      <c r="G11" s="26">
        <f>(G6+G12-G7)*(1+'Fane 14. Nøgletal'!C9)</f>
        <v>11520867.540233999</v>
      </c>
      <c r="H11" s="14" t="s">
        <v>3</v>
      </c>
      <c r="I11" s="1"/>
    </row>
    <row r="12" spans="1:9" x14ac:dyDescent="0.45">
      <c r="A12" s="1"/>
      <c r="B12" s="56" t="s">
        <v>246</v>
      </c>
      <c r="C12" s="51"/>
      <c r="D12" s="51"/>
      <c r="E12" s="51"/>
      <c r="F12" s="52"/>
      <c r="G12" s="26">
        <v>227536</v>
      </c>
      <c r="H12" s="14" t="s">
        <v>3</v>
      </c>
      <c r="I12" s="1"/>
    </row>
    <row r="13" spans="1:9" x14ac:dyDescent="0.45">
      <c r="A13" s="1"/>
      <c r="B13" s="107" t="s">
        <v>89</v>
      </c>
      <c r="C13" s="108"/>
      <c r="D13" s="108"/>
      <c r="E13" s="108"/>
      <c r="F13" s="109"/>
      <c r="G13" s="26">
        <v>0</v>
      </c>
      <c r="H13" s="14" t="s">
        <v>3</v>
      </c>
      <c r="I13" s="1"/>
    </row>
    <row r="14" spans="1:9" x14ac:dyDescent="0.45">
      <c r="A14" s="1"/>
      <c r="B14" s="104" t="s">
        <v>90</v>
      </c>
      <c r="C14" s="105"/>
      <c r="D14" s="105"/>
      <c r="E14" s="105"/>
      <c r="F14" s="106"/>
      <c r="G14" s="26">
        <f>(G11+G13)*'Fane 14. Nøgletal'!C25</f>
        <v>230417.35080468</v>
      </c>
      <c r="H14" s="14" t="s">
        <v>3</v>
      </c>
      <c r="I14" s="1"/>
    </row>
    <row r="15" spans="1:9" x14ac:dyDescent="0.45">
      <c r="A15" s="1"/>
      <c r="B15" s="49"/>
      <c r="C15" s="50"/>
      <c r="D15" s="50"/>
      <c r="E15" s="50"/>
      <c r="F15" s="50"/>
      <c r="G15" s="50"/>
      <c r="H15" s="22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01" t="s">
        <v>99</v>
      </c>
      <c r="C17" s="102"/>
      <c r="D17" s="102"/>
      <c r="E17" s="102"/>
      <c r="F17" s="102"/>
      <c r="G17" s="102"/>
      <c r="H17" s="103"/>
      <c r="I17" s="1"/>
    </row>
    <row r="18" spans="1:9" x14ac:dyDescent="0.45">
      <c r="A18" s="1"/>
      <c r="B18" s="104" t="s">
        <v>91</v>
      </c>
      <c r="C18" s="105"/>
      <c r="D18" s="105"/>
      <c r="E18" s="105"/>
      <c r="F18" s="106"/>
      <c r="G18" s="26">
        <f>(G14/'Fane 14. Nøgletal'!C25-G14)*(1+'Fane 14. Nøgletal'!C11)</f>
        <v>11481258.797630675</v>
      </c>
      <c r="H18" s="14" t="s">
        <v>3</v>
      </c>
      <c r="I18" s="1"/>
    </row>
    <row r="19" spans="1:9" x14ac:dyDescent="0.45">
      <c r="A19" s="1"/>
      <c r="B19" s="104" t="s">
        <v>221</v>
      </c>
      <c r="C19" s="105"/>
      <c r="D19" s="105"/>
      <c r="E19" s="105"/>
      <c r="F19" s="106"/>
      <c r="G19" s="26">
        <v>235291.70335695994</v>
      </c>
      <c r="H19" s="14" t="s">
        <v>3</v>
      </c>
      <c r="I19" s="1"/>
    </row>
    <row r="20" spans="1:9" x14ac:dyDescent="0.45">
      <c r="A20" s="1"/>
      <c r="B20" s="107" t="s">
        <v>92</v>
      </c>
      <c r="C20" s="108"/>
      <c r="D20" s="108"/>
      <c r="E20" s="108"/>
      <c r="F20" s="109"/>
      <c r="G20" s="26">
        <v>0</v>
      </c>
      <c r="H20" s="14" t="s">
        <v>3</v>
      </c>
      <c r="I20" s="1"/>
    </row>
    <row r="21" spans="1:9" x14ac:dyDescent="0.45">
      <c r="A21" s="1"/>
      <c r="B21" s="104" t="s">
        <v>93</v>
      </c>
      <c r="C21" s="105"/>
      <c r="D21" s="105"/>
      <c r="E21" s="105"/>
      <c r="F21" s="106"/>
      <c r="G21" s="26">
        <f>SUM(G18:G20)*'Fane 14. Nøgletal'!C25</f>
        <v>234331.01001975272</v>
      </c>
      <c r="H21" s="14" t="s">
        <v>3</v>
      </c>
      <c r="I21" s="1"/>
    </row>
    <row r="22" spans="1:9" x14ac:dyDescent="0.45">
      <c r="A22" s="1"/>
      <c r="B22" s="49"/>
      <c r="C22" s="50"/>
      <c r="D22" s="50"/>
      <c r="E22" s="50"/>
      <c r="F22" s="50"/>
      <c r="G22" s="50"/>
      <c r="H22" s="22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01" t="s">
        <v>100</v>
      </c>
      <c r="C24" s="102"/>
      <c r="D24" s="102"/>
      <c r="E24" s="102"/>
      <c r="F24" s="102"/>
      <c r="G24" s="102"/>
      <c r="H24" s="103"/>
      <c r="I24" s="1"/>
    </row>
    <row r="25" spans="1:9" x14ac:dyDescent="0.45">
      <c r="A25" s="1"/>
      <c r="B25" s="104" t="s">
        <v>94</v>
      </c>
      <c r="C25" s="105"/>
      <c r="D25" s="105"/>
      <c r="E25" s="105"/>
      <c r="F25" s="106"/>
      <c r="G25" s="26">
        <f>(SUM(G18:G20)-G21)*(1+'Fane 14. Nøgletal'!C11)</f>
        <v>11676269.000365239</v>
      </c>
      <c r="H25" s="14" t="s">
        <v>3</v>
      </c>
      <c r="I25" s="1"/>
    </row>
    <row r="26" spans="1:9" x14ac:dyDescent="0.45">
      <c r="A26" s="1"/>
      <c r="B26" s="107" t="s">
        <v>95</v>
      </c>
      <c r="C26" s="108"/>
      <c r="D26" s="108"/>
      <c r="E26" s="108"/>
      <c r="F26" s="109"/>
      <c r="G26" s="26">
        <f>('Fane 2.1. Økonomisk ramme 2020'!C10+'Fane 2.1. Økonomisk ramme 2020'!C12+'Fane 2.1. Økonomisk ramme 2020'!C14)*(1+'Fane 14. Nøgletal'!C12)</f>
        <v>1117924.0058111402</v>
      </c>
      <c r="H26" s="14" t="s">
        <v>3</v>
      </c>
      <c r="I26" s="1"/>
    </row>
    <row r="27" spans="1:9" x14ac:dyDescent="0.45">
      <c r="A27" s="1"/>
      <c r="B27" s="104" t="s">
        <v>96</v>
      </c>
      <c r="C27" s="105"/>
      <c r="D27" s="105"/>
      <c r="E27" s="105"/>
      <c r="F27" s="106"/>
      <c r="G27" s="26">
        <f>(G25+G26)*'Fane 14. Nøgletal'!C25</f>
        <v>255883.86012352759</v>
      </c>
      <c r="H27" s="14" t="s">
        <v>3</v>
      </c>
      <c r="I27" s="1"/>
    </row>
    <row r="28" spans="1:9" x14ac:dyDescent="0.45">
      <c r="A28" s="1"/>
      <c r="B28" s="49"/>
      <c r="C28" s="50"/>
      <c r="D28" s="50"/>
      <c r="E28" s="50"/>
      <c r="F28" s="50"/>
      <c r="G28" s="50"/>
      <c r="H28" s="22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01" t="s">
        <v>190</v>
      </c>
      <c r="C30" s="102"/>
      <c r="D30" s="102"/>
      <c r="E30" s="102"/>
      <c r="F30" s="102"/>
      <c r="G30" s="102"/>
      <c r="H30" s="103"/>
      <c r="I30" s="1"/>
    </row>
    <row r="31" spans="1:9" x14ac:dyDescent="0.45">
      <c r="A31" s="1"/>
      <c r="B31" s="104" t="s">
        <v>103</v>
      </c>
      <c r="C31" s="105"/>
      <c r="D31" s="105"/>
      <c r="E31" s="105"/>
      <c r="F31" s="106"/>
      <c r="G31" s="26">
        <f>(G25+G26-G27)*(1+'Fane 14. Nøgletal'!C12)</f>
        <v>12785313.836230092</v>
      </c>
      <c r="H31" s="14" t="s">
        <v>3</v>
      </c>
      <c r="I31" s="1"/>
    </row>
    <row r="32" spans="1:9" x14ac:dyDescent="0.45">
      <c r="A32" s="1"/>
      <c r="B32" s="104" t="s">
        <v>144</v>
      </c>
      <c r="C32" s="105"/>
      <c r="D32" s="105"/>
      <c r="E32" s="105"/>
      <c r="F32" s="106"/>
      <c r="G32" s="26">
        <f>-'Fane 12. Bortfald'!C19*(1+'Fane 14. Nøgletal'!C12)</f>
        <v>0</v>
      </c>
      <c r="H32" s="14" t="s">
        <v>3</v>
      </c>
      <c r="I32" s="1"/>
    </row>
    <row r="33" spans="1:9" x14ac:dyDescent="0.45">
      <c r="A33" s="1"/>
      <c r="B33" s="104" t="s">
        <v>219</v>
      </c>
      <c r="C33" s="105"/>
      <c r="D33" s="105"/>
      <c r="E33" s="105"/>
      <c r="F33" s="106"/>
      <c r="G33" s="26">
        <f>(G31+G32)*'Fane 14. Nøgletal'!C25</f>
        <v>255706.27672460183</v>
      </c>
      <c r="H33" s="14" t="s">
        <v>3</v>
      </c>
      <c r="I33" s="1"/>
    </row>
    <row r="34" spans="1:9" x14ac:dyDescent="0.45">
      <c r="A34" s="1"/>
      <c r="B34" s="49"/>
      <c r="C34" s="50"/>
      <c r="D34" s="50"/>
      <c r="E34" s="50"/>
      <c r="F34" s="50"/>
      <c r="G34" s="50"/>
      <c r="H34" s="22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01" t="s">
        <v>125</v>
      </c>
      <c r="C36" s="102"/>
      <c r="D36" s="102"/>
      <c r="E36" s="102"/>
      <c r="F36" s="102"/>
      <c r="G36" s="102"/>
      <c r="H36" s="103"/>
      <c r="I36" s="1"/>
    </row>
    <row r="37" spans="1:9" x14ac:dyDescent="0.45">
      <c r="A37" s="1"/>
      <c r="B37" s="104" t="s">
        <v>124</v>
      </c>
      <c r="C37" s="105"/>
      <c r="D37" s="105"/>
      <c r="E37" s="105"/>
      <c r="F37" s="106"/>
      <c r="G37" s="26">
        <f>(G31-G33)*(1+'Fane 14. Nøgletal'!C12)</f>
        <v>12776440.828427749</v>
      </c>
      <c r="H37" s="14" t="s">
        <v>3</v>
      </c>
      <c r="I37" s="1"/>
    </row>
    <row r="38" spans="1:9" x14ac:dyDescent="0.45">
      <c r="A38" s="1"/>
      <c r="B38" s="104" t="s">
        <v>145</v>
      </c>
      <c r="C38" s="105"/>
      <c r="D38" s="105"/>
      <c r="E38" s="105"/>
      <c r="F38" s="106"/>
      <c r="G38" s="26">
        <f>-'Fane 12. Bortfald'!C26*(1+'Fane 14. Nøgletal'!C12)</f>
        <v>0</v>
      </c>
      <c r="H38" s="14" t="s">
        <v>3</v>
      </c>
      <c r="I38" s="1"/>
    </row>
    <row r="39" spans="1:9" x14ac:dyDescent="0.45">
      <c r="A39" s="1"/>
      <c r="B39" s="104" t="s">
        <v>104</v>
      </c>
      <c r="C39" s="105"/>
      <c r="D39" s="105"/>
      <c r="E39" s="105"/>
      <c r="F39" s="106"/>
      <c r="G39" s="26">
        <f>(G37+G38)*'Fane 14. Nøgletal'!C25</f>
        <v>255528.81656855499</v>
      </c>
      <c r="H39" s="14" t="s">
        <v>3</v>
      </c>
      <c r="I39" s="1"/>
    </row>
    <row r="40" spans="1:9" x14ac:dyDescent="0.45">
      <c r="A40" s="1"/>
      <c r="B40" s="49"/>
      <c r="C40" s="50"/>
      <c r="D40" s="50"/>
      <c r="E40" s="50"/>
      <c r="F40" s="50"/>
      <c r="G40" s="50"/>
      <c r="H40" s="22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01" t="s">
        <v>126</v>
      </c>
      <c r="C42" s="102"/>
      <c r="D42" s="102"/>
      <c r="E42" s="102"/>
      <c r="F42" s="102"/>
      <c r="G42" s="102"/>
      <c r="H42" s="103"/>
      <c r="I42" s="1"/>
    </row>
    <row r="43" spans="1:9" x14ac:dyDescent="0.45">
      <c r="A43" s="1"/>
      <c r="B43" s="104" t="s">
        <v>123</v>
      </c>
      <c r="C43" s="105"/>
      <c r="D43" s="105"/>
      <c r="E43" s="105"/>
      <c r="F43" s="106"/>
      <c r="G43" s="26">
        <f>(G37-G39)*(1+'Fane 14. Nøgletal'!C12)</f>
        <v>12767573.978492821</v>
      </c>
      <c r="H43" s="14" t="s">
        <v>3</v>
      </c>
      <c r="I43" s="1"/>
    </row>
    <row r="44" spans="1:9" x14ac:dyDescent="0.45">
      <c r="A44" s="1"/>
      <c r="B44" s="104" t="s">
        <v>146</v>
      </c>
      <c r="C44" s="105"/>
      <c r="D44" s="105"/>
      <c r="E44" s="105"/>
      <c r="F44" s="106"/>
      <c r="G44" s="26">
        <f>-'Fane 12. Bortfald'!C33*(1+'Fane 14. Nøgletal'!C12)</f>
        <v>0</v>
      </c>
      <c r="H44" s="14" t="s">
        <v>3</v>
      </c>
      <c r="I44" s="1"/>
    </row>
    <row r="45" spans="1:9" x14ac:dyDescent="0.45">
      <c r="A45" s="1"/>
      <c r="B45" s="104" t="s">
        <v>105</v>
      </c>
      <c r="C45" s="105"/>
      <c r="D45" s="105"/>
      <c r="E45" s="105"/>
      <c r="F45" s="106"/>
      <c r="G45" s="26">
        <f>(G43+G44)*'Fane 14. Nøgletal'!C25</f>
        <v>255351.47956985643</v>
      </c>
      <c r="H45" s="14" t="s">
        <v>3</v>
      </c>
      <c r="I45" s="1"/>
    </row>
    <row r="46" spans="1:9" x14ac:dyDescent="0.45">
      <c r="A46" s="1"/>
      <c r="B46" s="49"/>
      <c r="C46" s="50"/>
      <c r="D46" s="50"/>
      <c r="E46" s="50"/>
      <c r="F46" s="50"/>
      <c r="G46" s="50"/>
      <c r="H46" s="22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kEZoW8A4yKAFA24zgMvLsYj9hthsYWq4FeWZw8u6o2rltGBHvs0YOD+scLNNu5JJqzohOsSbedW0n8IjiXz8Q==" saltValue="OhExK92NGcrNeh+aX4orPg==" spinCount="100000" sheet="1" objects="1" scenarios="1"/>
  <mergeCells count="29">
    <mergeCell ref="B30:H30"/>
    <mergeCell ref="B31:F31"/>
    <mergeCell ref="B36:H36"/>
    <mergeCell ref="B39:F39"/>
    <mergeCell ref="B21:F21"/>
    <mergeCell ref="B25:F25"/>
    <mergeCell ref="B26:F26"/>
    <mergeCell ref="B27:F27"/>
    <mergeCell ref="B37:F37"/>
    <mergeCell ref="B32:F32"/>
    <mergeCell ref="B33:F33"/>
    <mergeCell ref="B17:H17"/>
    <mergeCell ref="B24:H24"/>
    <mergeCell ref="B13:F13"/>
    <mergeCell ref="B14:F14"/>
    <mergeCell ref="B18:F18"/>
    <mergeCell ref="B20:F20"/>
    <mergeCell ref="B19:F19"/>
    <mergeCell ref="B42:H42"/>
    <mergeCell ref="B43:F43"/>
    <mergeCell ref="B45:F45"/>
    <mergeCell ref="B38:F38"/>
    <mergeCell ref="B44:F44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10" t="s">
        <v>202</v>
      </c>
      <c r="C2" s="110"/>
      <c r="D2" s="110"/>
      <c r="E2" s="110"/>
      <c r="F2" s="110"/>
      <c r="G2" s="110"/>
      <c r="H2" s="110"/>
      <c r="I2" s="1"/>
    </row>
    <row r="3" spans="1:9" ht="18" x14ac:dyDescent="0.55000000000000004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45">
      <c r="A4" s="1"/>
      <c r="B4" s="101" t="s">
        <v>101</v>
      </c>
      <c r="C4" s="102"/>
      <c r="D4" s="102"/>
      <c r="E4" s="102"/>
      <c r="F4" s="102"/>
      <c r="G4" s="102"/>
      <c r="H4" s="103"/>
      <c r="I4" s="1"/>
    </row>
    <row r="5" spans="1:9" x14ac:dyDescent="0.45">
      <c r="A5" s="1"/>
      <c r="B5" s="104" t="s">
        <v>248</v>
      </c>
      <c r="C5" s="105"/>
      <c r="D5" s="105"/>
      <c r="E5" s="105"/>
      <c r="F5" s="106"/>
      <c r="G5" s="26">
        <v>10808243.946027</v>
      </c>
      <c r="H5" s="14" t="s">
        <v>3</v>
      </c>
      <c r="I5" s="1"/>
    </row>
    <row r="6" spans="1:9" x14ac:dyDescent="0.45">
      <c r="A6" s="1"/>
      <c r="B6" s="104" t="s">
        <v>102</v>
      </c>
      <c r="C6" s="105"/>
      <c r="D6" s="105"/>
      <c r="E6" s="105"/>
      <c r="F6" s="106"/>
      <c r="G6" s="26">
        <f>G5*'Fane 14. Nøgletal'!C17</f>
        <v>98355.019908845701</v>
      </c>
      <c r="H6" s="14" t="s">
        <v>3</v>
      </c>
      <c r="I6" s="1"/>
    </row>
    <row r="7" spans="1:9" x14ac:dyDescent="0.45">
      <c r="A7" s="1"/>
      <c r="B7" s="49"/>
      <c r="C7" s="50"/>
      <c r="D7" s="50"/>
      <c r="E7" s="50"/>
      <c r="F7" s="50"/>
      <c r="G7" s="5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1" t="s">
        <v>106</v>
      </c>
      <c r="C9" s="102"/>
      <c r="D9" s="102"/>
      <c r="E9" s="102"/>
      <c r="F9" s="102"/>
      <c r="G9" s="102"/>
      <c r="H9" s="103"/>
      <c r="I9" s="1"/>
    </row>
    <row r="10" spans="1:9" x14ac:dyDescent="0.45">
      <c r="A10" s="1"/>
      <c r="B10" s="104" t="s">
        <v>107</v>
      </c>
      <c r="C10" s="105"/>
      <c r="D10" s="105"/>
      <c r="E10" s="105"/>
      <c r="F10" s="106"/>
      <c r="G10" s="26">
        <f>(G5+G11-G6)*(1+'Fane 14. Nøgletal'!C9)</f>
        <v>11025077.475679854</v>
      </c>
      <c r="H10" s="14" t="s">
        <v>3</v>
      </c>
      <c r="I10" s="1"/>
    </row>
    <row r="11" spans="1:9" x14ac:dyDescent="0.45">
      <c r="A11" s="1"/>
      <c r="B11" s="56" t="s">
        <v>247</v>
      </c>
      <c r="C11" s="51"/>
      <c r="D11" s="51"/>
      <c r="E11" s="51"/>
      <c r="F11" s="52"/>
      <c r="G11" s="26">
        <v>176926</v>
      </c>
      <c r="H11" s="14" t="s">
        <v>3</v>
      </c>
      <c r="I11" s="1"/>
    </row>
    <row r="12" spans="1:9" x14ac:dyDescent="0.45">
      <c r="A12" s="1"/>
      <c r="B12" s="107" t="s">
        <v>108</v>
      </c>
      <c r="C12" s="108"/>
      <c r="D12" s="108"/>
      <c r="E12" s="108"/>
      <c r="F12" s="109"/>
      <c r="G12" s="26">
        <v>0</v>
      </c>
      <c r="H12" s="14" t="s">
        <v>3</v>
      </c>
      <c r="I12" s="1"/>
    </row>
    <row r="13" spans="1:9" x14ac:dyDescent="0.45">
      <c r="A13" s="1"/>
      <c r="B13" s="104" t="s">
        <v>109</v>
      </c>
      <c r="C13" s="105"/>
      <c r="D13" s="105"/>
      <c r="E13" s="105"/>
      <c r="F13" s="106"/>
      <c r="G13" s="26">
        <f>G10*'Fane 14. Nøgletal'!C17+G12*'Fane 14. Nøgletal'!C18</f>
        <v>100328.20502868667</v>
      </c>
      <c r="H13" s="14" t="s">
        <v>3</v>
      </c>
      <c r="I13" s="1"/>
    </row>
    <row r="14" spans="1:9" x14ac:dyDescent="0.45">
      <c r="A14" s="1"/>
      <c r="B14" s="49"/>
      <c r="C14" s="50"/>
      <c r="D14" s="50"/>
      <c r="E14" s="50"/>
      <c r="F14" s="50"/>
      <c r="G14" s="5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01" t="s">
        <v>110</v>
      </c>
      <c r="C16" s="102"/>
      <c r="D16" s="102"/>
      <c r="E16" s="102"/>
      <c r="F16" s="102"/>
      <c r="G16" s="102"/>
      <c r="H16" s="103"/>
      <c r="I16" s="1"/>
    </row>
    <row r="17" spans="1:9" x14ac:dyDescent="0.45">
      <c r="A17" s="1"/>
      <c r="B17" s="104" t="s">
        <v>111</v>
      </c>
      <c r="C17" s="105"/>
      <c r="D17" s="105"/>
      <c r="E17" s="105"/>
      <c r="F17" s="106"/>
      <c r="G17" s="26">
        <f>(G10+G12-G13)*(1+'Fane 14. Nøgletal'!C11)</f>
        <v>11109377.533325171</v>
      </c>
      <c r="H17" s="14" t="s">
        <v>3</v>
      </c>
      <c r="I17" s="1"/>
    </row>
    <row r="18" spans="1:9" x14ac:dyDescent="0.45">
      <c r="A18" s="1"/>
      <c r="B18" s="104" t="s">
        <v>222</v>
      </c>
      <c r="C18" s="105"/>
      <c r="D18" s="105"/>
      <c r="E18" s="105"/>
      <c r="F18" s="106"/>
      <c r="G18" s="26">
        <v>-20488.338190929993</v>
      </c>
      <c r="H18" s="14" t="s">
        <v>3</v>
      </c>
      <c r="I18" s="1"/>
    </row>
    <row r="19" spans="1:9" x14ac:dyDescent="0.45">
      <c r="A19" s="1"/>
      <c r="B19" s="107" t="s">
        <v>112</v>
      </c>
      <c r="C19" s="108"/>
      <c r="D19" s="108"/>
      <c r="E19" s="108"/>
      <c r="F19" s="109"/>
      <c r="G19" s="26">
        <v>0</v>
      </c>
      <c r="H19" s="14" t="s">
        <v>3</v>
      </c>
      <c r="I19" s="1"/>
    </row>
    <row r="20" spans="1:9" x14ac:dyDescent="0.45">
      <c r="A20" s="1"/>
      <c r="B20" s="104" t="s">
        <v>113</v>
      </c>
      <c r="C20" s="105"/>
      <c r="D20" s="105"/>
      <c r="E20" s="105"/>
      <c r="F20" s="106"/>
      <c r="G20" s="26">
        <f>SUM(G17:G19)*'Fane 14. Nøgletal'!C19</f>
        <v>96473.335997667891</v>
      </c>
      <c r="H20" s="14" t="s">
        <v>3</v>
      </c>
      <c r="I20" s="1"/>
    </row>
    <row r="21" spans="1:9" x14ac:dyDescent="0.45">
      <c r="A21" s="1"/>
      <c r="B21" s="49"/>
      <c r="C21" s="50"/>
      <c r="D21" s="50"/>
      <c r="E21" s="50"/>
      <c r="F21" s="50"/>
      <c r="G21" s="5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01" t="s">
        <v>114</v>
      </c>
      <c r="C23" s="102"/>
      <c r="D23" s="102"/>
      <c r="E23" s="102"/>
      <c r="F23" s="102"/>
      <c r="G23" s="102"/>
      <c r="H23" s="103"/>
      <c r="I23" s="1"/>
    </row>
    <row r="24" spans="1:9" x14ac:dyDescent="0.45">
      <c r="A24" s="1"/>
      <c r="B24" s="104" t="s">
        <v>115</v>
      </c>
      <c r="C24" s="105"/>
      <c r="D24" s="105"/>
      <c r="E24" s="105"/>
      <c r="F24" s="106"/>
      <c r="G24" s="26">
        <f>(SUM(G17:G19)-G20)*(1+'Fane 14. Nøgletal'!C11)</f>
        <v>11178187.687155981</v>
      </c>
      <c r="H24" s="14" t="s">
        <v>3</v>
      </c>
      <c r="I24" s="1"/>
    </row>
    <row r="25" spans="1:9" x14ac:dyDescent="0.45">
      <c r="A25" s="1"/>
      <c r="B25" s="107" t="s">
        <v>116</v>
      </c>
      <c r="C25" s="108"/>
      <c r="D25" s="108"/>
      <c r="E25" s="108"/>
      <c r="F25" s="109"/>
      <c r="G25" s="26">
        <f>('Fane 2.1. Økonomisk ramme 2020'!C11+'Fane 2.1. Økonomisk ramme 2020'!C13+'Fane 2.1. Økonomisk ramme 2020'!C15)*(1+'Fane 14. Nøgletal'!C12)</f>
        <v>28320.708207330004</v>
      </c>
      <c r="H25" s="14" t="s">
        <v>3</v>
      </c>
      <c r="I25" s="1"/>
    </row>
    <row r="26" spans="1:9" x14ac:dyDescent="0.45">
      <c r="A26" s="1"/>
      <c r="B26" s="104" t="s">
        <v>117</v>
      </c>
      <c r="C26" s="105"/>
      <c r="D26" s="105"/>
      <c r="E26" s="105"/>
      <c r="F26" s="106"/>
      <c r="G26" s="26">
        <f>G24*'Fane 14. Nøgletal'!C19+G25*'Fane 14. Nøgletal'!C20</f>
        <v>98054.540991345202</v>
      </c>
      <c r="H26" s="14" t="s">
        <v>3</v>
      </c>
      <c r="I26" s="1"/>
    </row>
    <row r="27" spans="1:9" x14ac:dyDescent="0.45">
      <c r="A27" s="1"/>
      <c r="B27" s="49"/>
      <c r="C27" s="50"/>
      <c r="D27" s="50"/>
      <c r="E27" s="50"/>
      <c r="F27" s="50"/>
      <c r="G27" s="5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01" t="s">
        <v>189</v>
      </c>
      <c r="C29" s="102"/>
      <c r="D29" s="102"/>
      <c r="E29" s="102"/>
      <c r="F29" s="102"/>
      <c r="G29" s="102"/>
      <c r="H29" s="103"/>
      <c r="I29" s="1"/>
    </row>
    <row r="30" spans="1:9" x14ac:dyDescent="0.45">
      <c r="A30" s="1"/>
      <c r="B30" s="104" t="s">
        <v>118</v>
      </c>
      <c r="C30" s="105"/>
      <c r="D30" s="105"/>
      <c r="E30" s="105"/>
      <c r="F30" s="106"/>
      <c r="G30" s="26">
        <f>(G24+G25-G26)*(1+'Fane 14. Nøgletal'!C12)</f>
        <v>11327290.395303093</v>
      </c>
      <c r="H30" s="14" t="s">
        <v>3</v>
      </c>
      <c r="I30" s="1"/>
    </row>
    <row r="31" spans="1:9" x14ac:dyDescent="0.45">
      <c r="A31" s="1"/>
      <c r="B31" s="104" t="s">
        <v>150</v>
      </c>
      <c r="C31" s="105"/>
      <c r="D31" s="105"/>
      <c r="E31" s="105"/>
      <c r="F31" s="106"/>
      <c r="G31" s="26">
        <f>-'Fane 12. Bortfald'!E19*(1+'Fane 14. Nøgletal'!C12)</f>
        <v>0</v>
      </c>
      <c r="H31" s="14" t="s">
        <v>3</v>
      </c>
      <c r="I31" s="1"/>
    </row>
    <row r="32" spans="1:9" x14ac:dyDescent="0.45">
      <c r="A32" s="1"/>
      <c r="B32" s="104" t="s">
        <v>218</v>
      </c>
      <c r="C32" s="105"/>
      <c r="D32" s="105"/>
      <c r="E32" s="105"/>
      <c r="F32" s="106"/>
      <c r="G32" s="26">
        <f>(G30+G31)*'Fane 14. Nøgletal'!C20</f>
        <v>321695.04722660786</v>
      </c>
      <c r="H32" s="14" t="s">
        <v>3</v>
      </c>
      <c r="I32" s="1"/>
    </row>
    <row r="33" spans="1:9" x14ac:dyDescent="0.45">
      <c r="A33" s="1"/>
      <c r="B33" s="49"/>
      <c r="C33" s="50"/>
      <c r="D33" s="50"/>
      <c r="E33" s="50"/>
      <c r="F33" s="50"/>
      <c r="G33" s="5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01" t="s">
        <v>127</v>
      </c>
      <c r="C35" s="102"/>
      <c r="D35" s="102"/>
      <c r="E35" s="102"/>
      <c r="F35" s="102"/>
      <c r="G35" s="102"/>
      <c r="H35" s="103"/>
      <c r="I35" s="1"/>
    </row>
    <row r="36" spans="1:9" x14ac:dyDescent="0.45">
      <c r="A36" s="1"/>
      <c r="B36" s="104" t="s">
        <v>122</v>
      </c>
      <c r="C36" s="105"/>
      <c r="D36" s="105"/>
      <c r="E36" s="105"/>
      <c r="F36" s="106"/>
      <c r="G36" s="26">
        <f>(G30-G32)*(1+'Fane 14. Nøgletal'!C12)</f>
        <v>11222405.576433592</v>
      </c>
      <c r="H36" s="14" t="s">
        <v>3</v>
      </c>
      <c r="I36" s="1"/>
    </row>
    <row r="37" spans="1:9" x14ac:dyDescent="0.45">
      <c r="A37" s="1"/>
      <c r="B37" s="104" t="s">
        <v>151</v>
      </c>
      <c r="C37" s="105"/>
      <c r="D37" s="105"/>
      <c r="E37" s="105"/>
      <c r="F37" s="106"/>
      <c r="G37" s="26">
        <f>-'Fane 12. Bortfald'!E26*(1+'Fane 14. Nøgletal'!C12)</f>
        <v>0</v>
      </c>
      <c r="H37" s="14" t="s">
        <v>3</v>
      </c>
      <c r="I37" s="1"/>
    </row>
    <row r="38" spans="1:9" x14ac:dyDescent="0.45">
      <c r="A38" s="1"/>
      <c r="B38" s="104" t="s">
        <v>119</v>
      </c>
      <c r="C38" s="105"/>
      <c r="D38" s="105"/>
      <c r="E38" s="105"/>
      <c r="F38" s="106"/>
      <c r="G38" s="26">
        <f>(G36+G37)*'Fane 14. Nøgletal'!C20</f>
        <v>318716.31837071403</v>
      </c>
      <c r="H38" s="14" t="s">
        <v>3</v>
      </c>
      <c r="I38" s="1"/>
    </row>
    <row r="39" spans="1:9" x14ac:dyDescent="0.45">
      <c r="A39" s="1"/>
      <c r="B39" s="49"/>
      <c r="C39" s="50"/>
      <c r="D39" s="50"/>
      <c r="E39" s="50"/>
      <c r="F39" s="50"/>
      <c r="G39" s="5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01" t="s">
        <v>128</v>
      </c>
      <c r="C41" s="102"/>
      <c r="D41" s="102"/>
      <c r="E41" s="102"/>
      <c r="F41" s="102"/>
      <c r="G41" s="102"/>
      <c r="H41" s="103"/>
      <c r="I41" s="1"/>
    </row>
    <row r="42" spans="1:9" x14ac:dyDescent="0.45">
      <c r="A42" s="1"/>
      <c r="B42" s="104" t="s">
        <v>121</v>
      </c>
      <c r="C42" s="105"/>
      <c r="D42" s="105"/>
      <c r="E42" s="105"/>
      <c r="F42" s="106"/>
      <c r="G42" s="26">
        <f>(G36-G38)*(1+'Fane 14. Nøgletal'!C12)</f>
        <v>11118491.936446715</v>
      </c>
      <c r="H42" s="14" t="s">
        <v>3</v>
      </c>
      <c r="I42" s="1"/>
    </row>
    <row r="43" spans="1:9" x14ac:dyDescent="0.45">
      <c r="A43" s="1"/>
      <c r="B43" s="104" t="s">
        <v>152</v>
      </c>
      <c r="C43" s="105"/>
      <c r="D43" s="105"/>
      <c r="E43" s="105"/>
      <c r="F43" s="106"/>
      <c r="G43" s="26">
        <f>-'Fane 12. Bortfald'!E33*(1+'Fane 14. Nøgletal'!C12)</f>
        <v>0</v>
      </c>
      <c r="H43" s="14" t="s">
        <v>3</v>
      </c>
      <c r="I43" s="1"/>
    </row>
    <row r="44" spans="1:9" x14ac:dyDescent="0.45">
      <c r="A44" s="1"/>
      <c r="B44" s="104" t="s">
        <v>120</v>
      </c>
      <c r="C44" s="105"/>
      <c r="D44" s="105"/>
      <c r="E44" s="105"/>
      <c r="F44" s="106"/>
      <c r="G44" s="26">
        <f>(G42+G43)*'Fane 14. Nøgletal'!C20</f>
        <v>315765.17099508672</v>
      </c>
      <c r="H44" s="14" t="s">
        <v>3</v>
      </c>
      <c r="I44" s="1"/>
    </row>
    <row r="45" spans="1:9" x14ac:dyDescent="0.45">
      <c r="A45" s="1"/>
      <c r="B45" s="49"/>
      <c r="C45" s="50"/>
      <c r="D45" s="50"/>
      <c r="E45" s="50"/>
      <c r="F45" s="50"/>
      <c r="G45" s="5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T3z4D1YSg38plutBj9of0uUD/LHIro+D/PfU3D2Id11ouOzbfjzXLl2InshibCkn52N4t1uhYpNWI6gij1xhQ==" saltValue="nHAD27lRXWO14y6kgDaSWw==" spinCount="100000" sheet="1" objects="1" scenarios="1"/>
  <mergeCells count="29">
    <mergeCell ref="B23:H23"/>
    <mergeCell ref="B43:F43"/>
    <mergeCell ref="B24:F24"/>
    <mergeCell ref="B25:F25"/>
    <mergeCell ref="B26:F26"/>
    <mergeCell ref="B38:F38"/>
    <mergeCell ref="B41:H41"/>
    <mergeCell ref="B42:F42"/>
    <mergeCell ref="B29:H29"/>
    <mergeCell ref="B30:F30"/>
    <mergeCell ref="B32:F32"/>
    <mergeCell ref="B35:H35"/>
    <mergeCell ref="B37:F37"/>
    <mergeCell ref="B18:F18"/>
    <mergeCell ref="B2:H2"/>
    <mergeCell ref="B36:F36"/>
    <mergeCell ref="B44:F44"/>
    <mergeCell ref="B20:F20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9:F19"/>
    <mergeCell ref="B31:F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8" t="s">
        <v>143</v>
      </c>
      <c r="C3" s="78"/>
      <c r="D3" s="78"/>
      <c r="E3" s="78"/>
      <c r="F3" s="78"/>
      <c r="G3" s="78"/>
      <c r="H3" s="78"/>
      <c r="I3" s="1"/>
    </row>
    <row r="4" spans="1:9" ht="15" customHeight="1" x14ac:dyDescent="0.4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10</v>
      </c>
      <c r="C8" s="102"/>
      <c r="D8" s="102"/>
      <c r="E8" s="102"/>
      <c r="F8" s="102"/>
      <c r="G8" s="102"/>
      <c r="H8" s="103"/>
      <c r="I8" s="1"/>
    </row>
    <row r="9" spans="1:9" x14ac:dyDescent="0.45">
      <c r="A9" s="1"/>
      <c r="B9" s="104" t="s">
        <v>177</v>
      </c>
      <c r="C9" s="105"/>
      <c r="D9" s="105"/>
      <c r="E9" s="105"/>
      <c r="F9" s="106"/>
      <c r="G9" s="25">
        <v>0</v>
      </c>
      <c r="H9" s="14"/>
      <c r="I9" s="1"/>
    </row>
    <row r="10" spans="1:9" x14ac:dyDescent="0.45">
      <c r="A10" s="1"/>
      <c r="B10" s="104" t="s">
        <v>178</v>
      </c>
      <c r="C10" s="105"/>
      <c r="D10" s="105"/>
      <c r="E10" s="105"/>
      <c r="F10" s="106"/>
      <c r="G10" s="25">
        <v>0</v>
      </c>
      <c r="H10" s="14"/>
      <c r="I10" s="1"/>
    </row>
    <row r="11" spans="1:9" x14ac:dyDescent="0.45">
      <c r="A11" s="1"/>
      <c r="B11" s="49"/>
      <c r="C11" s="50"/>
      <c r="D11" s="50"/>
      <c r="E11" s="50"/>
      <c r="F11" s="50"/>
      <c r="G11" s="5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11"/>
      <c r="C13" s="111"/>
      <c r="D13" s="111"/>
      <c r="E13" s="111"/>
      <c r="F13" s="111"/>
      <c r="G13" s="111"/>
      <c r="H13" s="111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OioG5O9rgo54WpXBGcXhfKnP/svcNMhIpt3KI0uy7QkbXmnnW/aOl8c1d1EVj6ISN+YKMNqkk0gvR5POXrQ7A==" saltValue="w6Ee8nE4aJHeoJ8LnicgW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2020-06-08T07:52:04Z</dcterms:modified>
</cp:coreProperties>
</file>