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Bornholms Spildevand AS (S010)\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workbook>
</file>

<file path=xl/calcChain.xml><?xml version="1.0" encoding="utf-8"?>
<calcChain xmlns="http://schemas.openxmlformats.org/spreadsheetml/2006/main">
  <c r="C16" i="15" l="1"/>
  <c r="C20" i="23" l="1"/>
  <c r="C20" i="22"/>
  <c r="C20" i="15"/>
  <c r="C32" i="2"/>
  <c r="E24" i="32" l="1"/>
  <c r="E32" i="32" s="1"/>
  <c r="E34" i="32" s="1"/>
  <c r="E28" i="32" l="1"/>
  <c r="C15"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<sst xmlns="http://schemas.openxmlformats.org/spreadsheetml/2006/main" count="609" uniqueCount="290">
  <si>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</si>
  <si>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</si>
  <si>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</si>
  <si>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</si>
  <si>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</si>
  <si>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</si>
  <si>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</si>
  <si>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</si>
  <si>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</si>
  <si>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</si>
  <si>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</si>
  <si>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</si>
  <si>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</si>
  <si>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</si>
  <si>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</si>
  <si>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</si>
  <si>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</si>
  <si>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</si>
  <si>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</si>
  <si>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</si>
  <si>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</si>
  <si>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</si>
  <si>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</si>
  <si>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</si>
  <si>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</si>
  <si>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</si>
  <si>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</si>
  <si>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</si>
  <si>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</si>
  <si>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</si>
  <si>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</si>
  <si>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</si>
  <si>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</si>
  <si>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</si>
  <si>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</si>
  <si>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</si>
  <si>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</si>
  <si>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</si>
  <si>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</si>
  <si>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</si>
  <si>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</si>
  <si>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</si>
  <si>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</si>
  <si>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</si>
  <si>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</si>
  <si>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</si>
  <si>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</si>
  <si>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</si>
  <si>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</si>
  <si>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</si>
  <si>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</si>
  <si>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</si>
  <si>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</si>
  <si>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</si>
  <si>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</si>
  <si>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</si>
  <si>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</si>
  <si>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</si>
  <si>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</si>
  <si>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</si>
  <si>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</si>
  <si>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</si>
  <si>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</si>
  <si>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</si>
  <si>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</si>
  <si>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</si>
  <si>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</si>
  <si>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</si>
  <si>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</si>
  <si>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</si>
  <si>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</si>
  <si>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</si>
  <si>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</si>
  <si>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</si>
  <si>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</si>
  <si>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</si>
  <si>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</si>
  <si>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</si>
  <si>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</si>
  <si>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</si>
  <si>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</si>
  <si>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</si>
  <si>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</si>
  <si>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</si>
  <si>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</si>
  <si>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</si>
  <si>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</si>
  <si>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</si>
  <si>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</si>
  <si>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</si>
  <si>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</si>
  <si>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</si>
  <si>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</si>
  <si>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</si>
  <si>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</si>
  <si>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</si>
  <si>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</si>
  <si>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</si>
  <si>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</si>
  <si>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</si>
  <si>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</si>
  <si>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</si>
  <si>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</si>
  <si>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</si>
  <si>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</si>
  <si>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</si>
  <si>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</si>
  <si>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</si>
  <si>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</si>
  <si>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</si>
  <si>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</si>
  <si>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</si>
  <si>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</si>
  <si>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</si>
  <si>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</si>
  <si>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</si>
  <si>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</si>
  <si>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</si>
  <si>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</si>
  <si>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</si>
  <si>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</si>
  <si>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</si>
  <si>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</si>
  <si>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</si>
  <si>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</si>
  <si>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</si>
  <si>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</si>
  <si>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</si>
  <si>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</si>
  <si>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</si>
  <si>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</si>
  <si>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</si>
  <si>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</si>
  <si>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</si>
  <si>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</si>
  <si>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</si>
  <si>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</si>
  <si>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</si>
  <si>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</si>
  <si>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</si>
  <si>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</si>
  <si>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</si>
  <si>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</si>
  <si>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</si>
  <si>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</si>
  <si>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</si>
  <si>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</si>
  <si>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</si>
  <si>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</si>
  <si>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</si>
  <si>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</si>
  <si>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</si>
  <si>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</si>
  <si>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</si>
  <si>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</si>
  <si>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</si>
  <si>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</si>
  <si>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</si>
  <si>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</si>
  <si>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</si>
  <si>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</si>
  <si>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</si>
  <si>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</si>
  <si>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</si>
  <si>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</si>
  <si>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</si>
  <si>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</si>
  <si>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</si>
  <si>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</si>
  <si>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</si>
  <si>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</si>
  <si>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</si>
  <si>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</si>
  <si>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</si>
  <si>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</si>
  <si>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</si>
  <si>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</si>
  <si>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</si>
  <si>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</si>
  <si>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</si>
  <si>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</si>
  <si>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</si>
  <si>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</si>
  <si>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</si>
  <si>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</si>
  <si>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</si>
  <si>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</si>
  <si>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</si>
  <si>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</si>
  <si>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</si>
  <si>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</si>
  <si>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</si>
  <si>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</si>
  <si>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</si>
  <si>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</si>
  <si>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</si>
  <si>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</si>
  <si>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</si>
  <si>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</si>
  <si>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</si>
  <si>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</si>
  <si>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</si>
  <si>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</si>
  <si>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</si>
  <si>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</si>
  <si>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</si>
  <si>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</si>
  <si>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</si>
  <si>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</si>
  <si>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</si>
  <si>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</si>
  <si>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</si>
  <si>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</si>
  <si>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</si>
  <si>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</si>
  <si>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</si>
  <si>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</si>
  <si>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</si>
  <si>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</si>
  <si>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</si>
  <si>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</si>
  <si>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</si>
  <si>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</si>
  <si>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</si>
  <si>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</si>
  <si>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</si>
  <si>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</si>
  <si>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</si>
  <si>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</si>
  <si>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</si>
  <si>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</si>
  <si>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</si>
  <si>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</si>
  <si>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</si>
  <si>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</si>
  <si>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</si>
  <si>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</si>
  <si>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</si>
  <si>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</si>
  <si>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</si>
  <si>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</si>
  <si>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</si>
  <si>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</si>
  <si>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</si>
  <si>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</si>
  <si>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</si>
  <si>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</si>
  <si>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</si>
  <si>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</si>
  <si>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</si>
  <si>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</si>
  <si>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</si>
  <si>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</si>
  <si>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</si>
  <si>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</si>
  <si>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</si>
  <si>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</si>
  <si>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</si>
  <si>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</si>
  <si>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</si>
  <si>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</si>
  <si>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</si>
  <si>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</si>
  <si>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</si>
  <si>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</si>
  <si>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</si>
  <si>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</si>
  <si>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</si>
  <si>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</si>
  <si>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Erstatninger</t>
  </si>
  <si>
    <t>Udvidelser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</si>
  <si>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</si>
  <si>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</si>
  <si>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</si>
  <si>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</si>
  <si>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</si>
  <si>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</si>
  <si>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</si>
  <si>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</si>
  <si>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</si>
  <si>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</si>
  <si>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</si>
  <si>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</si>
  <si>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</si>
  <si>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</si>
  <si>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</si>
  <si>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</si>
  <si>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</si>
  <si>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</si>
  <si>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 xml:space="preserve">Note: Opgørelsen af over/underdækningen er taget fra jeres tidligere fremsendte økonomiske rammer og statusmeddelelser. I kan derfor ikke komme med høringssvar til denne opgørelse.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</si>
</sst>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1" xfId="0" applyFont="1" applyFill="1" applyBorder="1" applyAlignment="1" applyProtection="1">
      <alignment horizontal="center" vertical="top" wrapText="1"/>
    </xf>
    <xf numFmtId="0" fontId="7" fillId="3" borderId="1" xfId="0" applyFont="1" applyFill="1" applyBorder="1" applyAlignment="1" applyProtection="1">
      <alignment horizontal="left"/>
    </xf>
    <xf numFmtId="0" fontId="7" fillId="3" borderId="1" xfId="0" applyFont="1" applyFill="1" applyBorder="1" applyAlignment="1" applyProtection="1">
      <alignment horizontal="center"/>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1" t="s">
        <v>4</v>
      </c>
      <c r="E6" s="101"/>
      <c r="F6" s="101"/>
      <c r="G6" s="101"/>
      <c r="H6" s="3"/>
      <c r="I6" s="1"/>
    </row>
    <row r="7" spans="1:9" ht="15" customHeight="1" x14ac:dyDescent="0.25">
      <c r="A7" s="1"/>
      <c r="B7" s="1"/>
      <c r="C7" s="3"/>
      <c r="D7" s="101"/>
      <c r="E7" s="101"/>
      <c r="F7" s="101"/>
      <c r="G7" s="101"/>
      <c r="H7" s="3"/>
      <c r="I7" s="1"/>
    </row>
    <row r="8" spans="1:9" ht="15.75" x14ac:dyDescent="0.25">
      <c r="A8" s="1"/>
      <c r="B8" s="1"/>
      <c r="C8" s="4"/>
      <c r="D8" s="109" t="s">
        <v>225</v>
      </c>
      <c r="E8" s="109"/>
      <c r="F8" s="109"/>
      <c r="G8" s="109"/>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8" t="s">
        <v>5</v>
      </c>
      <c r="E11" s="108"/>
      <c r="F11" s="108"/>
      <c r="G11" s="108"/>
      <c r="H11" s="5"/>
      <c r="I11" s="1"/>
    </row>
    <row r="12" spans="1:9" x14ac:dyDescent="0.25">
      <c r="A12" s="1"/>
      <c r="B12" s="1"/>
      <c r="C12" s="1"/>
      <c r="D12" s="1"/>
      <c r="E12" s="1"/>
      <c r="F12" s="1"/>
      <c r="G12" s="1"/>
      <c r="H12" s="5"/>
      <c r="I12" s="1"/>
    </row>
    <row r="13" spans="1:9" x14ac:dyDescent="0.25">
      <c r="A13" s="1"/>
      <c r="B13" s="1"/>
      <c r="C13" s="6" t="s">
        <v>6</v>
      </c>
      <c r="D13" s="113" t="s">
        <v>169</v>
      </c>
      <c r="E13" s="114"/>
      <c r="F13" s="114"/>
      <c r="G13" s="115"/>
      <c r="H13" s="5"/>
      <c r="I13" s="1"/>
    </row>
    <row r="14" spans="1:9" x14ac:dyDescent="0.25">
      <c r="A14" s="1"/>
      <c r="B14" s="1"/>
      <c r="C14" s="6" t="s">
        <v>16</v>
      </c>
      <c r="D14" s="98" t="s">
        <v>235</v>
      </c>
      <c r="E14" s="99"/>
      <c r="F14" s="99"/>
      <c r="G14" s="100"/>
      <c r="H14" s="5"/>
      <c r="I14" s="1"/>
    </row>
    <row r="15" spans="1:9" x14ac:dyDescent="0.25">
      <c r="A15" s="1"/>
      <c r="B15" s="1"/>
      <c r="C15" s="6" t="s">
        <v>34</v>
      </c>
      <c r="D15" s="98" t="s">
        <v>170</v>
      </c>
      <c r="E15" s="99"/>
      <c r="F15" s="99"/>
      <c r="G15" s="100"/>
      <c r="H15" s="5"/>
      <c r="I15" s="1"/>
    </row>
    <row r="16" spans="1:9" x14ac:dyDescent="0.25">
      <c r="A16" s="1"/>
      <c r="B16" s="1"/>
      <c r="C16" s="6" t="s">
        <v>35</v>
      </c>
      <c r="D16" s="98" t="s">
        <v>182</v>
      </c>
      <c r="E16" s="99"/>
      <c r="F16" s="99"/>
      <c r="G16" s="100"/>
      <c r="H16" s="5"/>
      <c r="I16" s="1"/>
    </row>
    <row r="17" spans="1:9" x14ac:dyDescent="0.25">
      <c r="A17" s="1"/>
      <c r="B17" s="1"/>
      <c r="C17" s="6" t="s">
        <v>119</v>
      </c>
      <c r="D17" s="98" t="s">
        <v>183</v>
      </c>
      <c r="E17" s="99"/>
      <c r="F17" s="99"/>
      <c r="G17" s="100"/>
      <c r="H17" s="5"/>
      <c r="I17" s="1"/>
    </row>
    <row r="18" spans="1:9" x14ac:dyDescent="0.25">
      <c r="A18" s="1"/>
      <c r="B18" s="1"/>
      <c r="C18" s="6" t="s">
        <v>106</v>
      </c>
      <c r="D18" s="110" t="s">
        <v>95</v>
      </c>
      <c r="E18" s="111"/>
      <c r="F18" s="111"/>
      <c r="G18" s="112"/>
      <c r="H18" s="5"/>
      <c r="I18" s="1"/>
    </row>
    <row r="19" spans="1:9" x14ac:dyDescent="0.25">
      <c r="A19" s="1"/>
      <c r="B19" s="1"/>
      <c r="C19" s="6" t="s">
        <v>107</v>
      </c>
      <c r="D19" s="110" t="s">
        <v>96</v>
      </c>
      <c r="E19" s="111"/>
      <c r="F19" s="111"/>
      <c r="G19" s="112"/>
      <c r="H19" s="5"/>
      <c r="I19" s="1"/>
    </row>
    <row r="20" spans="1:9" x14ac:dyDescent="0.25">
      <c r="A20" s="1"/>
      <c r="B20" s="1"/>
      <c r="C20" s="6" t="s">
        <v>7</v>
      </c>
      <c r="D20" s="110" t="s">
        <v>10</v>
      </c>
      <c r="E20" s="111"/>
      <c r="F20" s="111"/>
      <c r="G20" s="112"/>
      <c r="H20" s="5"/>
      <c r="I20" s="1"/>
    </row>
    <row r="21" spans="1:9" x14ac:dyDescent="0.25">
      <c r="A21" s="1"/>
      <c r="B21" s="1"/>
      <c r="C21" s="6" t="s">
        <v>108</v>
      </c>
      <c r="D21" s="102" t="s">
        <v>12</v>
      </c>
      <c r="E21" s="103"/>
      <c r="F21" s="103"/>
      <c r="G21" s="104"/>
      <c r="H21" s="5"/>
      <c r="I21" s="1"/>
    </row>
    <row r="22" spans="1:9" x14ac:dyDescent="0.25">
      <c r="A22" s="1"/>
      <c r="B22" s="1"/>
      <c r="C22" s="6" t="s">
        <v>83</v>
      </c>
      <c r="D22" s="105" t="s">
        <v>184</v>
      </c>
      <c r="E22" s="106"/>
      <c r="F22" s="106"/>
      <c r="G22" s="107"/>
      <c r="H22" s="5"/>
      <c r="I22" s="1"/>
    </row>
    <row r="23" spans="1:9" x14ac:dyDescent="0.25">
      <c r="A23" s="1"/>
      <c r="B23" s="1"/>
      <c r="C23" s="6" t="s">
        <v>8</v>
      </c>
      <c r="D23" s="105" t="s">
        <v>253</v>
      </c>
      <c r="E23" s="106"/>
      <c r="F23" s="106"/>
      <c r="G23" s="107"/>
      <c r="H23" s="5"/>
      <c r="I23" s="1"/>
    </row>
    <row r="24" spans="1:9" x14ac:dyDescent="0.25">
      <c r="A24" s="1"/>
      <c r="B24" s="1"/>
      <c r="C24" s="6" t="s">
        <v>9</v>
      </c>
      <c r="D24" s="105" t="s">
        <v>185</v>
      </c>
      <c r="E24" s="106"/>
      <c r="F24" s="106"/>
      <c r="G24" s="107"/>
      <c r="H24" s="5"/>
      <c r="I24" s="1"/>
    </row>
    <row r="25" spans="1:9" x14ac:dyDescent="0.25">
      <c r="A25" s="1"/>
      <c r="B25" s="1"/>
      <c r="C25" s="6" t="s">
        <v>246</v>
      </c>
      <c r="D25" s="105" t="s">
        <v>237</v>
      </c>
      <c r="E25" s="106"/>
      <c r="F25" s="106"/>
      <c r="G25" s="107"/>
      <c r="H25" s="1"/>
      <c r="I25" s="1"/>
    </row>
    <row r="26" spans="1:9" x14ac:dyDescent="0.25">
      <c r="A26" s="1"/>
      <c r="B26" s="1"/>
      <c r="C26" s="6" t="s">
        <v>247</v>
      </c>
      <c r="D26" s="105" t="s">
        <v>84</v>
      </c>
      <c r="E26" s="106"/>
      <c r="F26" s="106"/>
      <c r="G26" s="107"/>
      <c r="H26" s="1"/>
      <c r="I26" s="1"/>
    </row>
    <row r="27" spans="1:9" x14ac:dyDescent="0.25">
      <c r="A27" s="1"/>
      <c r="B27" s="1"/>
      <c r="C27" s="6" t="s">
        <v>248</v>
      </c>
      <c r="D27" s="105" t="s">
        <v>85</v>
      </c>
      <c r="E27" s="106"/>
      <c r="F27" s="106"/>
      <c r="G27" s="107"/>
      <c r="H27" s="1"/>
      <c r="I27" s="1"/>
    </row>
    <row r="28" spans="1:9" x14ac:dyDescent="0.25">
      <c r="A28" s="1"/>
      <c r="B28" s="1"/>
      <c r="C28" s="6" t="s">
        <v>15</v>
      </c>
      <c r="D28" s="105" t="s">
        <v>86</v>
      </c>
      <c r="E28" s="106"/>
      <c r="F28" s="106"/>
      <c r="G28" s="107"/>
      <c r="H28" s="1"/>
      <c r="I28" s="1"/>
    </row>
    <row r="29" spans="1:9" x14ac:dyDescent="0.25">
      <c r="A29" s="1"/>
      <c r="B29" s="1"/>
      <c r="C29" s="6" t="s">
        <v>37</v>
      </c>
      <c r="D29" s="105" t="s">
        <v>134</v>
      </c>
      <c r="E29" s="106"/>
      <c r="F29" s="106"/>
      <c r="G29" s="107"/>
      <c r="H29" s="1"/>
      <c r="I29" s="1"/>
    </row>
    <row r="30" spans="1:9" x14ac:dyDescent="0.25">
      <c r="A30" s="1"/>
      <c r="B30" s="1"/>
      <c r="C30" s="6" t="s">
        <v>38</v>
      </c>
      <c r="D30" s="105" t="s">
        <v>36</v>
      </c>
      <c r="E30" s="106"/>
      <c r="F30" s="106"/>
      <c r="G30" s="107"/>
      <c r="H30" s="1"/>
      <c r="I30" s="1"/>
    </row>
    <row r="31" spans="1:9" x14ac:dyDescent="0.25">
      <c r="A31" s="1"/>
      <c r="B31" s="1"/>
      <c r="C31" s="6" t="s">
        <v>249</v>
      </c>
      <c r="D31" s="116" t="s">
        <v>105</v>
      </c>
      <c r="E31" s="117"/>
      <c r="F31" s="117"/>
      <c r="G31" s="118"/>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Ph3/Eo1fNVBt7qx8S/u+uou2xpV9cOLwPXtpxdScMTrb0ZNqB9c9myJtKE7sZgc0eY/DkDqitID0h1Opq6nQ7w==" saltValue="qQJMiSC0t8Z+IG0aMZq1i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7" t="s">
        <v>199</v>
      </c>
      <c r="C8" s="128"/>
      <c r="D8" s="129"/>
      <c r="E8" s="1"/>
      <c r="F8" s="1"/>
    </row>
    <row r="9" spans="1:6" ht="15" customHeight="1" x14ac:dyDescent="0.25">
      <c r="A9" s="1"/>
      <c r="B9" s="26" t="s">
        <v>32</v>
      </c>
      <c r="C9" s="58" t="s">
        <v>240</v>
      </c>
      <c r="D9" s="11"/>
      <c r="E9" s="1"/>
      <c r="F9" s="1"/>
    </row>
    <row r="10" spans="1:6" x14ac:dyDescent="0.25">
      <c r="A10" s="1"/>
      <c r="B10" s="94" t="s">
        <v>265</v>
      </c>
      <c r="C10" s="9">
        <v>1560885.77</v>
      </c>
      <c r="D10" s="14" t="s">
        <v>3</v>
      </c>
      <c r="E10" s="1"/>
      <c r="F10" s="1"/>
    </row>
    <row r="11" spans="1:6" x14ac:dyDescent="0.25">
      <c r="A11" s="1"/>
      <c r="B11" s="94" t="s">
        <v>266</v>
      </c>
      <c r="C11" s="9">
        <v>99157</v>
      </c>
      <c r="D11" s="14" t="s">
        <v>3</v>
      </c>
      <c r="E11" s="1"/>
      <c r="F11" s="1"/>
    </row>
    <row r="12" spans="1:6" x14ac:dyDescent="0.25">
      <c r="A12" s="1"/>
      <c r="B12" s="94" t="s">
        <v>267</v>
      </c>
      <c r="C12" s="9">
        <v>468712</v>
      </c>
      <c r="D12" s="14" t="s">
        <v>3</v>
      </c>
      <c r="E12" s="1"/>
      <c r="F12" s="1"/>
    </row>
    <row r="13" spans="1:6" x14ac:dyDescent="0.25">
      <c r="A13" s="1"/>
      <c r="B13" s="94" t="s">
        <v>268</v>
      </c>
      <c r="C13" s="9">
        <v>58087.02</v>
      </c>
      <c r="D13" s="14" t="s">
        <v>3</v>
      </c>
      <c r="E13" s="1"/>
      <c r="F13" s="1"/>
    </row>
    <row r="14" spans="1:6" x14ac:dyDescent="0.25">
      <c r="A14" s="1"/>
      <c r="B14" s="94" t="s">
        <v>269</v>
      </c>
      <c r="C14" s="9">
        <v>140482.07</v>
      </c>
      <c r="D14" s="14" t="s">
        <v>3</v>
      </c>
      <c r="E14" s="1"/>
      <c r="F14" s="1"/>
    </row>
    <row r="15" spans="1:6" x14ac:dyDescent="0.25">
      <c r="A15" s="1"/>
      <c r="B15" s="32" t="s">
        <v>200</v>
      </c>
      <c r="C15" s="12">
        <f>SUM(C10:C14)</f>
        <v>2327323.86</v>
      </c>
      <c r="D15" s="13" t="s">
        <v>3</v>
      </c>
      <c r="E15" s="1"/>
      <c r="F15" s="1"/>
    </row>
    <row r="16" spans="1:6" x14ac:dyDescent="0.25">
      <c r="A16" s="1"/>
      <c r="B16" s="32" t="s">
        <v>201</v>
      </c>
      <c r="C16" s="12">
        <f>C15*(1+'Fane 15. Nøgletal'!C15)^2</f>
        <v>2495978.8759992095</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27" t="s">
        <v>117</v>
      </c>
      <c r="C19" s="128"/>
      <c r="D19" s="129"/>
      <c r="E19" s="1"/>
      <c r="F19" s="1"/>
    </row>
    <row r="20" spans="1:6" x14ac:dyDescent="0.25">
      <c r="A20" s="1"/>
      <c r="B20" s="94" t="s">
        <v>99</v>
      </c>
      <c r="C20" s="9">
        <v>1045594</v>
      </c>
      <c r="D20" s="14" t="s">
        <v>3</v>
      </c>
      <c r="E20" s="1"/>
      <c r="F20" s="1"/>
    </row>
    <row r="21" spans="1:6" x14ac:dyDescent="0.25">
      <c r="A21" s="1"/>
      <c r="B21" s="94" t="s">
        <v>129</v>
      </c>
      <c r="C21" s="9">
        <v>1045594</v>
      </c>
      <c r="D21" s="14" t="s">
        <v>3</v>
      </c>
      <c r="E21" s="1"/>
      <c r="F21" s="1"/>
    </row>
    <row r="22" spans="1:6" x14ac:dyDescent="0.25">
      <c r="A22" s="1"/>
      <c r="B22" s="94" t="s">
        <v>155</v>
      </c>
      <c r="C22" s="9">
        <v>1045594</v>
      </c>
      <c r="D22" s="14" t="s">
        <v>3</v>
      </c>
      <c r="E22" s="1"/>
      <c r="F22" s="1"/>
    </row>
    <row r="23" spans="1:6" x14ac:dyDescent="0.25">
      <c r="A23" s="1"/>
      <c r="B23" s="33" t="s">
        <v>202</v>
      </c>
      <c r="C23" s="9">
        <v>1045594</v>
      </c>
      <c r="D23" s="40" t="s">
        <v>3</v>
      </c>
      <c r="E23" s="1"/>
      <c r="F23" s="1"/>
    </row>
    <row r="24" spans="1:6" x14ac:dyDescent="0.25">
      <c r="A24" s="1"/>
      <c r="B24" s="127"/>
      <c r="C24" s="128"/>
      <c r="D24" s="129"/>
      <c r="E24" s="1"/>
      <c r="F24" s="1"/>
    </row>
    <row r="25" spans="1:6" x14ac:dyDescent="0.25">
      <c r="A25" s="1"/>
      <c r="B25" s="1"/>
      <c r="C25" s="1"/>
      <c r="D25" s="1"/>
      <c r="E25" s="1"/>
      <c r="F25" s="1"/>
    </row>
    <row r="26" spans="1:6" x14ac:dyDescent="0.25">
      <c r="A26" s="1"/>
      <c r="B26" s="1"/>
      <c r="C26" s="1"/>
      <c r="D26" s="1"/>
      <c r="E26" s="1"/>
      <c r="F26" s="1"/>
    </row>
    <row r="27" spans="1:6" x14ac:dyDescent="0.25">
      <c r="A27" s="1"/>
      <c r="B27" s="127" t="s">
        <v>98</v>
      </c>
      <c r="C27" s="128"/>
      <c r="D27" s="129"/>
      <c r="E27" s="1"/>
      <c r="F27" s="1"/>
    </row>
    <row r="28" spans="1:6" x14ac:dyDescent="0.25">
      <c r="A28" s="1"/>
      <c r="B28" s="94" t="s">
        <v>99</v>
      </c>
      <c r="C28" s="9">
        <v>0</v>
      </c>
      <c r="D28" s="14" t="s">
        <v>3</v>
      </c>
      <c r="E28" s="1"/>
      <c r="F28" s="1"/>
    </row>
    <row r="29" spans="1:6" x14ac:dyDescent="0.25">
      <c r="A29" s="1"/>
      <c r="B29" s="94" t="s">
        <v>129</v>
      </c>
      <c r="C29" s="9">
        <v>0</v>
      </c>
      <c r="D29" s="14" t="s">
        <v>3</v>
      </c>
      <c r="E29" s="1"/>
      <c r="F29" s="1"/>
    </row>
    <row r="30" spans="1:6" x14ac:dyDescent="0.25">
      <c r="A30" s="1"/>
      <c r="B30" s="94" t="s">
        <v>155</v>
      </c>
      <c r="C30" s="9">
        <v>0</v>
      </c>
      <c r="D30" s="14" t="s">
        <v>3</v>
      </c>
      <c r="E30" s="1"/>
      <c r="F30" s="1"/>
    </row>
    <row r="31" spans="1:6" x14ac:dyDescent="0.25">
      <c r="A31" s="1"/>
      <c r="B31" s="33" t="s">
        <v>202</v>
      </c>
      <c r="C31" s="9">
        <v>0</v>
      </c>
      <c r="D31" s="40" t="s">
        <v>3</v>
      </c>
      <c r="E31" s="1"/>
      <c r="F31" s="1"/>
    </row>
    <row r="32" spans="1:6" x14ac:dyDescent="0.25">
      <c r="A32" s="1"/>
      <c r="B32" s="127"/>
      <c r="C32" s="128"/>
      <c r="D32" s="129"/>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row r="52" spans="1:6" x14ac:dyDescent="0.25">
      <c r="A52" s="49"/>
      <c r="B52" s="49"/>
      <c r="C52" s="49"/>
      <c r="D52" s="49"/>
      <c r="E52" s="49"/>
      <c r="F52" s="49"/>
    </row>
  </sheetData>
  <sheetProtection algorithmName="SHA-512" hashValue="laZK0iL7xbmfp7YLyp2nLX1pIXu/4cv3XfNnFo8i32Ps7Z+tW1JSAn2167eTZmivmsvsnDlqujGRIsqyK3SiPA==" saltValue="XSBg6G3qqtD7gl2s+G41RQ=="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203</v>
      </c>
      <c r="C3" s="135"/>
      <c r="D3" s="135"/>
      <c r="E3" s="135"/>
      <c r="F3" s="135"/>
      <c r="G3" s="1"/>
    </row>
    <row r="4" spans="1:7" ht="15" customHeight="1" x14ac:dyDescent="0.25">
      <c r="A4" s="1"/>
      <c r="B4" s="135"/>
      <c r="C4" s="135"/>
      <c r="D4" s="135"/>
      <c r="E4" s="135"/>
      <c r="F4" s="135"/>
      <c r="G4" s="1"/>
    </row>
    <row r="5" spans="1:7" ht="15" customHeight="1" x14ac:dyDescent="0.25">
      <c r="A5" s="1"/>
      <c r="B5" s="82"/>
      <c r="C5" s="82"/>
      <c r="D5" s="82"/>
      <c r="E5" s="82"/>
      <c r="F5" s="82"/>
      <c r="G5" s="1"/>
    </row>
    <row r="6" spans="1:7" ht="15" customHeight="1" x14ac:dyDescent="0.25">
      <c r="A6" s="1"/>
      <c r="B6" s="82"/>
      <c r="C6" s="82"/>
      <c r="D6" s="82"/>
      <c r="E6" s="82"/>
      <c r="F6" s="82"/>
      <c r="G6" s="1"/>
    </row>
    <row r="7" spans="1:7" x14ac:dyDescent="0.25">
      <c r="A7" s="1"/>
      <c r="B7" s="1"/>
      <c r="C7" s="1"/>
      <c r="D7" s="1"/>
      <c r="E7" s="1"/>
      <c r="F7" s="1"/>
      <c r="G7" s="1"/>
    </row>
    <row r="8" spans="1:7" x14ac:dyDescent="0.25">
      <c r="A8" s="1"/>
      <c r="B8" s="127" t="s">
        <v>178</v>
      </c>
      <c r="C8" s="128"/>
      <c r="D8" s="128"/>
      <c r="E8" s="128"/>
      <c r="F8" s="129"/>
      <c r="G8" s="1"/>
    </row>
    <row r="9" spans="1:7" x14ac:dyDescent="0.25">
      <c r="A9" s="1"/>
      <c r="B9" s="137" t="s">
        <v>204</v>
      </c>
      <c r="C9" s="138"/>
      <c r="D9" s="139"/>
      <c r="E9" s="9">
        <v>6047115.3888907731</v>
      </c>
      <c r="F9" s="14" t="s">
        <v>3</v>
      </c>
      <c r="G9" s="1"/>
    </row>
    <row r="10" spans="1:7" x14ac:dyDescent="0.25">
      <c r="A10" s="1"/>
      <c r="B10" s="137" t="s">
        <v>263</v>
      </c>
      <c r="C10" s="138"/>
      <c r="D10" s="139"/>
      <c r="E10" s="9">
        <v>6047115.3888907731</v>
      </c>
      <c r="F10" s="14" t="s">
        <v>3</v>
      </c>
      <c r="G10" s="1"/>
    </row>
    <row r="11" spans="1:7" x14ac:dyDescent="0.25">
      <c r="A11" s="1"/>
      <c r="B11" s="32"/>
      <c r="C11" s="27"/>
      <c r="D11" s="27"/>
      <c r="E11" s="27"/>
      <c r="F11" s="19"/>
      <c r="G11" s="1"/>
    </row>
    <row r="12" spans="1:7" ht="67.5" customHeight="1" x14ac:dyDescent="0.25">
      <c r="A12" s="1"/>
      <c r="B12" s="130" t="s">
        <v>288</v>
      </c>
      <c r="C12" s="131"/>
      <c r="D12" s="131"/>
      <c r="E12" s="131"/>
      <c r="F12" s="132"/>
      <c r="G12" s="1"/>
    </row>
    <row r="13" spans="1:7" ht="27" customHeight="1" x14ac:dyDescent="0.25">
      <c r="A13" s="1"/>
      <c r="B13" s="1"/>
      <c r="C13" s="1"/>
      <c r="D13" s="1"/>
      <c r="E13" s="1"/>
      <c r="F13" s="1"/>
      <c r="G13" s="1"/>
    </row>
    <row r="14" spans="1:7" ht="28.5" customHeight="1" x14ac:dyDescent="0.25">
      <c r="A14" s="1"/>
      <c r="B14" s="127" t="s">
        <v>179</v>
      </c>
      <c r="C14" s="128"/>
      <c r="D14" s="128"/>
      <c r="E14" s="128"/>
      <c r="F14" s="129"/>
      <c r="G14" s="1"/>
    </row>
    <row r="15" spans="1:7" x14ac:dyDescent="0.25">
      <c r="A15" s="1"/>
      <c r="B15" s="137" t="s">
        <v>282</v>
      </c>
      <c r="C15" s="138"/>
      <c r="D15" s="139"/>
      <c r="E15" s="9">
        <v>0</v>
      </c>
      <c r="F15" s="14" t="s">
        <v>3</v>
      </c>
      <c r="G15" s="1"/>
    </row>
    <row r="16" spans="1:7" x14ac:dyDescent="0.25">
      <c r="A16" s="1"/>
      <c r="B16" s="137" t="s">
        <v>283</v>
      </c>
      <c r="C16" s="138"/>
      <c r="D16" s="139"/>
      <c r="E16" s="9">
        <v>0</v>
      </c>
      <c r="F16" s="14" t="s">
        <v>3</v>
      </c>
      <c r="G16" s="1"/>
    </row>
    <row r="17" spans="1:7" x14ac:dyDescent="0.25">
      <c r="A17" s="1"/>
      <c r="B17" s="32"/>
      <c r="C17" s="27"/>
      <c r="D17" s="27"/>
      <c r="E17" s="27"/>
      <c r="F17" s="19"/>
      <c r="G17" s="1"/>
    </row>
    <row r="18" spans="1:7" ht="31.5" customHeight="1" x14ac:dyDescent="0.25">
      <c r="A18" s="1"/>
      <c r="B18" s="130" t="s">
        <v>289</v>
      </c>
      <c r="C18" s="131"/>
      <c r="D18" s="131"/>
      <c r="E18" s="131"/>
      <c r="F18" s="132"/>
      <c r="G18" s="1"/>
    </row>
    <row r="19" spans="1:7" ht="28.5" customHeight="1" x14ac:dyDescent="0.25">
      <c r="A19" s="1"/>
      <c r="B19" s="1"/>
      <c r="C19" s="1"/>
      <c r="D19" s="1"/>
      <c r="E19" s="1"/>
      <c r="F19" s="1"/>
      <c r="G19" s="1"/>
    </row>
    <row r="20" spans="1:7" ht="28.5" customHeight="1" x14ac:dyDescent="0.25">
      <c r="A20" s="1"/>
      <c r="B20" s="86" t="s">
        <v>205</v>
      </c>
      <c r="C20" s="87"/>
      <c r="D20" s="87"/>
      <c r="E20" s="87"/>
      <c r="F20" s="88"/>
      <c r="G20" s="1"/>
    </row>
    <row r="21" spans="1:7" x14ac:dyDescent="0.25">
      <c r="A21" s="1"/>
      <c r="B21" s="91" t="s">
        <v>206</v>
      </c>
      <c r="C21" s="92"/>
      <c r="D21" s="93"/>
      <c r="E21" s="9">
        <v>70278738.09131676</v>
      </c>
      <c r="F21" s="14" t="s">
        <v>3</v>
      </c>
      <c r="G21" s="1"/>
    </row>
    <row r="22" spans="1:7" x14ac:dyDescent="0.25">
      <c r="A22" s="1"/>
      <c r="B22" s="91" t="s">
        <v>207</v>
      </c>
      <c r="C22" s="92"/>
      <c r="D22" s="93"/>
      <c r="E22" s="9">
        <v>69061738.109999999</v>
      </c>
      <c r="F22" s="14" t="s">
        <v>3</v>
      </c>
      <c r="G22" s="1"/>
    </row>
    <row r="23" spans="1:7" x14ac:dyDescent="0.25">
      <c r="A23" s="1"/>
      <c r="B23" s="91" t="s">
        <v>33</v>
      </c>
      <c r="C23" s="92"/>
      <c r="D23" s="93"/>
      <c r="E23" s="9">
        <v>0</v>
      </c>
      <c r="F23" s="14" t="s">
        <v>3</v>
      </c>
      <c r="G23" s="1"/>
    </row>
    <row r="24" spans="1:7" x14ac:dyDescent="0.25">
      <c r="A24" s="1"/>
      <c r="B24" s="89" t="s">
        <v>271</v>
      </c>
      <c r="C24" s="90"/>
      <c r="D24" s="96"/>
      <c r="E24" s="72">
        <f>E21-(E22-E23)</f>
        <v>1216999.9813167602</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27" t="s">
        <v>284</v>
      </c>
      <c r="C27" s="128"/>
      <c r="D27" s="128"/>
      <c r="E27" s="128"/>
      <c r="F27" s="129"/>
      <c r="G27" s="1"/>
    </row>
    <row r="28" spans="1:7" x14ac:dyDescent="0.25">
      <c r="A28" s="1"/>
      <c r="B28" s="133" t="s">
        <v>285</v>
      </c>
      <c r="C28" s="134"/>
      <c r="D28" s="158"/>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27"/>
      <c r="C29" s="128"/>
      <c r="D29" s="128"/>
      <c r="E29" s="128"/>
      <c r="F29" s="129"/>
      <c r="G29" s="1"/>
    </row>
    <row r="30" spans="1:7" x14ac:dyDescent="0.25">
      <c r="A30" s="1"/>
      <c r="B30" s="1"/>
      <c r="C30" s="1"/>
      <c r="D30" s="1"/>
      <c r="E30" s="1"/>
      <c r="F30" s="1"/>
      <c r="G30" s="1"/>
    </row>
    <row r="31" spans="1:7" ht="28.5" customHeight="1" x14ac:dyDescent="0.25">
      <c r="A31" s="1"/>
      <c r="B31" s="127" t="s">
        <v>264</v>
      </c>
      <c r="C31" s="128"/>
      <c r="D31" s="128"/>
      <c r="E31" s="128"/>
      <c r="F31" s="129"/>
      <c r="G31" s="1"/>
    </row>
    <row r="32" spans="1:7" x14ac:dyDescent="0.25">
      <c r="A32" s="1"/>
      <c r="B32" s="151" t="s">
        <v>143</v>
      </c>
      <c r="C32" s="152"/>
      <c r="D32" s="153"/>
      <c r="E32" s="74">
        <f>IF(AND(E9&gt;0,(E9+E24)&gt;0),0,IF(AND(E9&gt;0,(E9+E24)&lt;0),(E9+E24),IF(AND(E9&lt;0,E24&lt;0),E24,0)))</f>
        <v>0</v>
      </c>
      <c r="F32" s="14" t="s">
        <v>3</v>
      </c>
      <c r="G32" s="1"/>
    </row>
    <row r="33" spans="1:7" x14ac:dyDescent="0.25">
      <c r="A33" s="1"/>
      <c r="B33" s="151" t="s">
        <v>102</v>
      </c>
      <c r="C33" s="152"/>
      <c r="D33" s="153"/>
      <c r="E33" s="9">
        <v>4</v>
      </c>
      <c r="F33" s="14" t="s">
        <v>20</v>
      </c>
      <c r="G33" s="1"/>
    </row>
    <row r="34" spans="1:7" x14ac:dyDescent="0.25">
      <c r="A34" s="1"/>
      <c r="B34" s="154" t="s">
        <v>144</v>
      </c>
      <c r="C34" s="154"/>
      <c r="D34" s="154"/>
      <c r="E34" s="73">
        <f>E32/E33</f>
        <v>0</v>
      </c>
      <c r="F34" s="17" t="s">
        <v>3</v>
      </c>
      <c r="G34" s="1"/>
    </row>
    <row r="35" spans="1:7" x14ac:dyDescent="0.25">
      <c r="A35" s="1"/>
      <c r="B35" s="155"/>
      <c r="C35" s="156"/>
      <c r="D35" s="156"/>
      <c r="E35" s="156"/>
      <c r="F35" s="15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D4Anw14BrgT1XnlmYEpusKLclyHfKq10jbXWhzMskxHebPeyFPfLYFGti7PKRVD4B3Rz36I32k/SR2cOJp85Og==" saltValue="0ABGrcI1SjZ8pY4ehAx/EA==" spinCount="100000" sheet="1" objects="1" scenarios="1"/>
  <mergeCells count="17">
    <mergeCell ref="B28:D28"/>
    <mergeCell ref="B31:F31"/>
    <mergeCell ref="B33:D33"/>
    <mergeCell ref="B34:D34"/>
    <mergeCell ref="B35:F35"/>
    <mergeCell ref="B3:F4"/>
    <mergeCell ref="B8:F8"/>
    <mergeCell ref="B9:D9"/>
    <mergeCell ref="B10:D10"/>
    <mergeCell ref="B14:F14"/>
    <mergeCell ref="B12:F12"/>
    <mergeCell ref="B15:D15"/>
    <mergeCell ref="B16:D16"/>
    <mergeCell ref="B32:D32"/>
    <mergeCell ref="B29:F29"/>
    <mergeCell ref="B18:F18"/>
    <mergeCell ref="B27:F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7" t="s">
        <v>262</v>
      </c>
      <c r="C8" s="128"/>
      <c r="D8" s="128"/>
      <c r="E8" s="128"/>
      <c r="F8" s="128"/>
      <c r="G8" s="128"/>
      <c r="H8" s="129"/>
      <c r="I8" s="1"/>
    </row>
    <row r="9" spans="1:9" ht="15" customHeight="1" x14ac:dyDescent="0.25">
      <c r="A9" s="1"/>
      <c r="B9" s="124" t="s">
        <v>251</v>
      </c>
      <c r="C9" s="125"/>
      <c r="D9" s="125"/>
      <c r="E9" s="125"/>
      <c r="F9" s="125"/>
      <c r="G9" s="125"/>
      <c r="H9" s="126"/>
      <c r="I9" s="1"/>
    </row>
    <row r="10" spans="1:9" x14ac:dyDescent="0.25">
      <c r="A10" s="1"/>
      <c r="B10" s="159" t="s">
        <v>273</v>
      </c>
      <c r="C10" s="160"/>
      <c r="D10" s="160"/>
      <c r="E10" s="160"/>
      <c r="F10" s="161"/>
      <c r="G10" s="9">
        <v>0</v>
      </c>
      <c r="H10" s="9" t="s">
        <v>3</v>
      </c>
      <c r="I10" s="1"/>
    </row>
    <row r="11" spans="1:9" x14ac:dyDescent="0.25">
      <c r="A11" s="1"/>
      <c r="B11" s="159" t="s">
        <v>274</v>
      </c>
      <c r="C11" s="160"/>
      <c r="D11" s="160"/>
      <c r="E11" s="160"/>
      <c r="F11" s="161"/>
      <c r="G11" s="9">
        <v>0</v>
      </c>
      <c r="H11" s="9" t="s">
        <v>3</v>
      </c>
      <c r="I11" s="1"/>
    </row>
    <row r="12" spans="1:9" x14ac:dyDescent="0.25">
      <c r="A12" s="1"/>
      <c r="B12" s="159" t="s">
        <v>275</v>
      </c>
      <c r="C12" s="160"/>
      <c r="D12" s="160"/>
      <c r="E12" s="160"/>
      <c r="F12" s="161"/>
      <c r="G12" s="9">
        <v>0</v>
      </c>
      <c r="H12" s="9" t="s">
        <v>3</v>
      </c>
      <c r="I12" s="1"/>
    </row>
    <row r="13" spans="1:9" x14ac:dyDescent="0.25">
      <c r="A13" s="1"/>
      <c r="B13" s="159" t="s">
        <v>276</v>
      </c>
      <c r="C13" s="160"/>
      <c r="D13" s="160"/>
      <c r="E13" s="160"/>
      <c r="F13" s="161"/>
      <c r="G13" s="9">
        <v>0</v>
      </c>
      <c r="H13" s="9" t="s">
        <v>3</v>
      </c>
      <c r="I13" s="1"/>
    </row>
    <row r="14" spans="1:9" x14ac:dyDescent="0.25">
      <c r="A14" s="1"/>
      <c r="B14" s="159" t="s">
        <v>277</v>
      </c>
      <c r="C14" s="160"/>
      <c r="D14" s="160"/>
      <c r="E14" s="160"/>
      <c r="F14" s="161"/>
      <c r="G14" s="9">
        <v>0</v>
      </c>
      <c r="H14" s="9" t="s">
        <v>3</v>
      </c>
      <c r="I14" s="1"/>
    </row>
    <row r="15" spans="1:9" x14ac:dyDescent="0.25">
      <c r="A15" s="1"/>
      <c r="B15" s="159" t="s">
        <v>278</v>
      </c>
      <c r="C15" s="160"/>
      <c r="D15" s="160"/>
      <c r="E15" s="160"/>
      <c r="F15" s="161"/>
      <c r="G15" s="9">
        <v>0</v>
      </c>
      <c r="H15" s="9" t="s">
        <v>3</v>
      </c>
      <c r="I15" s="1"/>
    </row>
    <row r="16" spans="1:9" x14ac:dyDescent="0.25">
      <c r="A16" s="1"/>
      <c r="B16" s="159" t="s">
        <v>279</v>
      </c>
      <c r="C16" s="160"/>
      <c r="D16" s="160"/>
      <c r="E16" s="160"/>
      <c r="F16" s="161"/>
      <c r="G16" s="9">
        <v>0</v>
      </c>
      <c r="H16" s="9" t="s">
        <v>3</v>
      </c>
      <c r="I16" s="1"/>
    </row>
    <row r="17" spans="1:9" x14ac:dyDescent="0.25">
      <c r="A17" s="1"/>
      <c r="B17" s="159" t="s">
        <v>280</v>
      </c>
      <c r="C17" s="160"/>
      <c r="D17" s="160"/>
      <c r="E17" s="160"/>
      <c r="F17" s="161"/>
      <c r="G17" s="9">
        <v>0</v>
      </c>
      <c r="H17" s="9" t="s">
        <v>3</v>
      </c>
      <c r="I17" s="1"/>
    </row>
    <row r="18" spans="1:9" x14ac:dyDescent="0.25">
      <c r="A18" s="1"/>
      <c r="B18" s="127" t="s">
        <v>252</v>
      </c>
      <c r="C18" s="128"/>
      <c r="D18" s="128"/>
      <c r="E18" s="128"/>
      <c r="F18" s="12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cCCMFEocSvNXuydDQFh+CVz+DGd8wfAo9wYiha8bx+GbOpn8v3wLB+qmHP0zEH6/gJKS6dFBRDdb3ktI0AN0VQ==" saltValue="FoQ0ru8tgsRAzic7bHuuew==" spinCount="100000" sheet="1" objects="1" scenarios="1"/>
  <mergeCells count="12">
    <mergeCell ref="B17:F17"/>
    <mergeCell ref="B18:F18"/>
    <mergeCell ref="B12:F12"/>
    <mergeCell ref="B13:F13"/>
    <mergeCell ref="B14:F14"/>
    <mergeCell ref="B15:F15"/>
    <mergeCell ref="B16:F16"/>
    <mergeCell ref="B11:F11"/>
    <mergeCell ref="B10:F10"/>
    <mergeCell ref="B9:H9"/>
    <mergeCell ref="B3:H4"/>
    <mergeCell ref="B8:H8"/>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5" t="s">
        <v>254</v>
      </c>
      <c r="C3" s="135"/>
      <c r="D3" s="135"/>
      <c r="E3" s="135"/>
      <c r="F3" s="135"/>
      <c r="G3" s="1"/>
    </row>
    <row r="4" spans="1:7" ht="1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208</v>
      </c>
      <c r="C9" s="128"/>
      <c r="D9" s="128"/>
      <c r="E9" s="128"/>
      <c r="F9" s="129"/>
      <c r="G9" s="1"/>
    </row>
    <row r="10" spans="1:7" x14ac:dyDescent="0.25">
      <c r="A10" s="1"/>
      <c r="B10" s="130" t="s">
        <v>100</v>
      </c>
      <c r="C10" s="131"/>
      <c r="D10" s="132"/>
      <c r="E10" s="7">
        <v>0</v>
      </c>
      <c r="F10" s="8" t="s">
        <v>3</v>
      </c>
      <c r="G10" s="1"/>
    </row>
    <row r="11" spans="1:7" x14ac:dyDescent="0.25">
      <c r="A11" s="1"/>
      <c r="B11" s="137" t="s">
        <v>209</v>
      </c>
      <c r="C11" s="138"/>
      <c r="D11" s="139"/>
      <c r="E11" s="7">
        <v>0</v>
      </c>
      <c r="F11" s="8" t="s">
        <v>3</v>
      </c>
      <c r="G11" s="1"/>
    </row>
    <row r="12" spans="1:7" x14ac:dyDescent="0.25">
      <c r="A12" s="1"/>
      <c r="B12" s="133" t="s">
        <v>101</v>
      </c>
      <c r="C12" s="134"/>
      <c r="D12" s="158"/>
      <c r="E12" s="10">
        <f>E11-E10</f>
        <v>0</v>
      </c>
      <c r="F12" s="11" t="s">
        <v>3</v>
      </c>
      <c r="G12" s="1"/>
    </row>
    <row r="13" spans="1:7" x14ac:dyDescent="0.25">
      <c r="A13" s="1"/>
      <c r="B13" s="127" t="s">
        <v>94</v>
      </c>
      <c r="C13" s="128"/>
      <c r="D13" s="128"/>
      <c r="E13" s="128"/>
      <c r="F13" s="129"/>
      <c r="G13" s="1"/>
    </row>
    <row r="14" spans="1:7" x14ac:dyDescent="0.25">
      <c r="A14" s="1"/>
      <c r="B14" s="137" t="s">
        <v>210</v>
      </c>
      <c r="C14" s="138"/>
      <c r="D14" s="139"/>
      <c r="E14" s="9">
        <v>1045594</v>
      </c>
      <c r="F14" s="8" t="s">
        <v>3</v>
      </c>
      <c r="G14" s="1"/>
    </row>
    <row r="15" spans="1:7" x14ac:dyDescent="0.25">
      <c r="A15" s="1"/>
      <c r="B15" s="130" t="s">
        <v>211</v>
      </c>
      <c r="C15" s="131"/>
      <c r="D15" s="132"/>
      <c r="E15" s="9">
        <v>680192.82000000007</v>
      </c>
      <c r="F15" s="8" t="s">
        <v>3</v>
      </c>
      <c r="G15" s="1"/>
    </row>
    <row r="16" spans="1:7" x14ac:dyDescent="0.25">
      <c r="A16" s="1"/>
      <c r="B16" s="133" t="s">
        <v>101</v>
      </c>
      <c r="C16" s="134"/>
      <c r="D16" s="158"/>
      <c r="E16" s="10">
        <f>E15-E14</f>
        <v>-365401.17999999993</v>
      </c>
      <c r="F16" s="11" t="s">
        <v>3</v>
      </c>
      <c r="G16" s="1"/>
    </row>
    <row r="17" spans="1:7" x14ac:dyDescent="0.25">
      <c r="A17" s="1"/>
      <c r="B17" s="32" t="s">
        <v>212</v>
      </c>
      <c r="C17" s="27"/>
      <c r="D17" s="27"/>
      <c r="E17" s="12">
        <f>E12+E16</f>
        <v>-365401.17999999993</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gwlt9BIGEfVzLvPhubMVhJxjh5Lk+/wFyaXUxkXARPBvDOik77sQidYwVrCdA1OVSxrJ8PLEqVxuWgvwiQtl7w==" saltValue="XD1WxgN1HCY8lbB6rHL1i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7" t="s">
        <v>219</v>
      </c>
      <c r="C8" s="128"/>
      <c r="D8" s="128"/>
      <c r="E8" s="128"/>
      <c r="F8" s="128"/>
      <c r="G8" s="128"/>
      <c r="H8" s="128"/>
      <c r="I8" s="128"/>
      <c r="J8" s="128"/>
      <c r="K8" s="129"/>
      <c r="L8" s="1"/>
    </row>
    <row r="9" spans="1:12" ht="39.75" customHeight="1" x14ac:dyDescent="0.25">
      <c r="A9" s="1"/>
      <c r="B9" s="18" t="s">
        <v>0</v>
      </c>
      <c r="C9" s="18" t="s">
        <v>1</v>
      </c>
      <c r="D9" s="162" t="s">
        <v>245</v>
      </c>
      <c r="E9" s="163"/>
      <c r="F9" s="162" t="s">
        <v>2</v>
      </c>
      <c r="G9" s="163"/>
      <c r="H9" s="162" t="s">
        <v>244</v>
      </c>
      <c r="I9" s="163"/>
      <c r="J9" s="162" t="s">
        <v>30</v>
      </c>
      <c r="K9" s="163"/>
      <c r="L9" s="1"/>
    </row>
    <row r="10" spans="1:12" x14ac:dyDescent="0.25">
      <c r="A10" s="1"/>
      <c r="B10" s="97" t="s">
        <v>281</v>
      </c>
      <c r="C10" s="41">
        <v>0</v>
      </c>
      <c r="D10" s="9">
        <v>0</v>
      </c>
      <c r="E10" s="14" t="s">
        <v>3</v>
      </c>
      <c r="F10" s="9">
        <f>IFERROR(D10/C10,0)</f>
        <v>0</v>
      </c>
      <c r="G10" s="14" t="s">
        <v>3</v>
      </c>
      <c r="H10" s="44">
        <v>0</v>
      </c>
      <c r="I10" s="14" t="s">
        <v>3</v>
      </c>
      <c r="J10" s="44">
        <v>0</v>
      </c>
      <c r="K10" s="14" t="s">
        <v>3</v>
      </c>
      <c r="L10" s="1"/>
    </row>
    <row r="11" spans="1:12" x14ac:dyDescent="0.25">
      <c r="A11" s="1"/>
      <c r="B11" s="86" t="s">
        <v>220</v>
      </c>
      <c r="C11" s="87"/>
      <c r="D11" s="88"/>
      <c r="E11" s="88"/>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f3mrZxKhkLQ1BDgaYqvqkVytL7CHhRtJT+M76rRVfSTnlA5HD9rKE4DpkzfRWOPTMrUqE+EFEhksxTM74Z/dcg==" saltValue="j0IeGHmNHe79XaX99ITSd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4" t="s">
        <v>17</v>
      </c>
      <c r="C9" s="84" t="s">
        <v>11</v>
      </c>
      <c r="D9" s="85"/>
      <c r="E9" s="84"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270</v>
      </c>
      <c r="C11" s="21">
        <v>0</v>
      </c>
      <c r="D11" s="14" t="s">
        <v>3</v>
      </c>
      <c r="E11" s="9">
        <v>18629</v>
      </c>
      <c r="F11" s="14" t="s">
        <v>3</v>
      </c>
      <c r="G11" s="1"/>
    </row>
    <row r="12" spans="1:7" x14ac:dyDescent="0.25">
      <c r="A12" s="1"/>
      <c r="B12" s="32" t="s">
        <v>156</v>
      </c>
      <c r="C12" s="12">
        <f>SUM(C10:C11)</f>
        <v>0</v>
      </c>
      <c r="D12" s="13" t="s">
        <v>3</v>
      </c>
      <c r="E12" s="12">
        <f>SUM(E10:E11)</f>
        <v>18629</v>
      </c>
      <c r="F12" s="13" t="s">
        <v>3</v>
      </c>
      <c r="G12" s="1"/>
    </row>
    <row r="13" spans="1:7" x14ac:dyDescent="0.25">
      <c r="A13" s="1"/>
      <c r="B13" s="32" t="s">
        <v>213</v>
      </c>
      <c r="C13" s="12">
        <f>C12*(1+'Fane 15. Nøgletal'!C15)</f>
        <v>0</v>
      </c>
      <c r="D13" s="13" t="s">
        <v>3</v>
      </c>
      <c r="E13" s="12">
        <f>E12*(1+'Fane 15. Nøgletal'!C15)</f>
        <v>19292.1924</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Y9lThBPKT3dh9HU+Dzgd85ZR9wlfNHtDT0CY/UZ9aEBWNbIDTIi5b/eMz+VlxI1dzSvzgxfhRmKNfZNAXkA7Q==" saltValue="5u0OGtvLkM6POoaLhRjgv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97</v>
      </c>
      <c r="C8" s="128"/>
      <c r="D8" s="128"/>
      <c r="E8" s="128"/>
      <c r="F8" s="129"/>
      <c r="G8" s="1"/>
    </row>
    <row r="9" spans="1:7" x14ac:dyDescent="0.25">
      <c r="A9" s="1"/>
      <c r="B9" s="84" t="s">
        <v>17</v>
      </c>
      <c r="C9" s="84" t="s">
        <v>11</v>
      </c>
      <c r="D9" s="85"/>
      <c r="E9" s="84" t="s">
        <v>31</v>
      </c>
      <c r="F9" s="31"/>
      <c r="G9" s="1"/>
    </row>
    <row r="10" spans="1:7" x14ac:dyDescent="0.25">
      <c r="A10" s="1"/>
      <c r="B10" s="23" t="s">
        <v>286</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4"/>
      <c r="C28" s="164"/>
      <c r="D28" s="164"/>
      <c r="E28" s="164"/>
      <c r="F28" s="164"/>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4IV/vA3X/fJBGtFqGfcorWYtiFuMkCrS4tKRSF1J9sPIvMjXan5qfhAGO4Qp1c3J8EtwySMoBDyetRlRK+/izQ==" saltValue="xOgPhAOrphRxjzpZPgHelg=="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258</v>
      </c>
      <c r="C3" s="135"/>
      <c r="D3" s="135"/>
      <c r="E3" s="135"/>
      <c r="F3" s="135"/>
      <c r="G3" s="1"/>
    </row>
    <row r="4" spans="1:7" ht="15" customHeight="1" x14ac:dyDescent="0.25">
      <c r="A4" s="1"/>
      <c r="B4" s="135"/>
      <c r="C4" s="135"/>
      <c r="D4" s="135"/>
      <c r="E4" s="135"/>
      <c r="F4" s="135"/>
      <c r="G4" s="1"/>
    </row>
    <row r="5" spans="1:7" x14ac:dyDescent="0.25">
      <c r="A5" s="1"/>
      <c r="B5" s="135"/>
      <c r="C5" s="135"/>
      <c r="D5" s="135"/>
      <c r="E5" s="135"/>
      <c r="F5" s="135"/>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7" t="s">
        <v>91</v>
      </c>
      <c r="C9" s="128"/>
      <c r="D9" s="128"/>
      <c r="E9" s="128"/>
      <c r="F9" s="129"/>
      <c r="G9" s="1"/>
    </row>
    <row r="10" spans="1:7" x14ac:dyDescent="0.25">
      <c r="A10" s="1"/>
      <c r="B10" s="159" t="s">
        <v>224</v>
      </c>
      <c r="C10" s="160"/>
      <c r="D10" s="161"/>
      <c r="E10" s="9">
        <v>0</v>
      </c>
      <c r="F10" s="14" t="s">
        <v>3</v>
      </c>
      <c r="G10" s="1"/>
    </row>
    <row r="11" spans="1:7" x14ac:dyDescent="0.25">
      <c r="A11" s="1"/>
      <c r="B11" s="121" t="s">
        <v>10</v>
      </c>
      <c r="C11" s="122"/>
      <c r="D11" s="123"/>
      <c r="E11" s="9">
        <f>-E10*'Fane 5. Individuelt eff. krav'!G9</f>
        <v>0</v>
      </c>
      <c r="F11" s="14" t="s">
        <v>3</v>
      </c>
      <c r="G11" s="1"/>
    </row>
    <row r="12" spans="1:7" x14ac:dyDescent="0.25">
      <c r="A12" s="1"/>
      <c r="B12" s="121" t="s">
        <v>24</v>
      </c>
      <c r="C12" s="122"/>
      <c r="D12" s="123"/>
      <c r="E12" s="9">
        <f>-E10*'Fane 15. Nøgletal'!C31</f>
        <v>0</v>
      </c>
      <c r="F12" s="14" t="s">
        <v>3</v>
      </c>
      <c r="G12" s="1"/>
    </row>
    <row r="13" spans="1:7" x14ac:dyDescent="0.25">
      <c r="A13" s="1"/>
      <c r="B13" s="127" t="s">
        <v>92</v>
      </c>
      <c r="C13" s="128"/>
      <c r="D13" s="129"/>
      <c r="E13" s="12">
        <f>SUM(E10:E12)*(1+'Fane 15. Nøgletal'!C15)^2</f>
        <v>0</v>
      </c>
      <c r="F13" s="13" t="s">
        <v>3</v>
      </c>
      <c r="G13" s="1"/>
    </row>
    <row r="14" spans="1:7" x14ac:dyDescent="0.25">
      <c r="A14" s="1"/>
      <c r="B14" s="1"/>
      <c r="C14" s="1"/>
      <c r="D14" s="1"/>
      <c r="E14" s="1"/>
      <c r="F14" s="1"/>
      <c r="G14" s="1"/>
    </row>
    <row r="15" spans="1:7" ht="15" customHeight="1" x14ac:dyDescent="0.25">
      <c r="A15" s="1"/>
      <c r="B15" s="127" t="s">
        <v>130</v>
      </c>
      <c r="C15" s="128"/>
      <c r="D15" s="128"/>
      <c r="E15" s="128"/>
      <c r="F15" s="129"/>
      <c r="G15" s="1"/>
    </row>
    <row r="16" spans="1:7" x14ac:dyDescent="0.25">
      <c r="A16" s="1"/>
      <c r="B16" s="159" t="s">
        <v>224</v>
      </c>
      <c r="C16" s="160"/>
      <c r="D16" s="161"/>
      <c r="E16" s="9">
        <v>0</v>
      </c>
      <c r="F16" s="14" t="s">
        <v>3</v>
      </c>
      <c r="G16" s="1"/>
    </row>
    <row r="17" spans="1:7" x14ac:dyDescent="0.25">
      <c r="A17" s="1"/>
      <c r="B17" s="121" t="s">
        <v>10</v>
      </c>
      <c r="C17" s="122"/>
      <c r="D17" s="123"/>
      <c r="E17" s="9">
        <f>-E16*'Fane 5. Individuelt eff. krav'!G9</f>
        <v>0</v>
      </c>
      <c r="F17" s="14" t="s">
        <v>3</v>
      </c>
      <c r="G17" s="1"/>
    </row>
    <row r="18" spans="1:7" x14ac:dyDescent="0.25">
      <c r="A18" s="1"/>
      <c r="B18" s="121" t="s">
        <v>24</v>
      </c>
      <c r="C18" s="122"/>
      <c r="D18" s="123"/>
      <c r="E18" s="9">
        <f>-E16*'Fane 15. Nøgletal'!C31</f>
        <v>0</v>
      </c>
      <c r="F18" s="14" t="s">
        <v>3</v>
      </c>
      <c r="G18" s="1"/>
    </row>
    <row r="19" spans="1:7" x14ac:dyDescent="0.25">
      <c r="A19" s="1"/>
      <c r="B19" s="127" t="s">
        <v>131</v>
      </c>
      <c r="C19" s="128"/>
      <c r="D19" s="129"/>
      <c r="E19" s="12">
        <f>SUM(E16:E18)*(1+'Fane 15. Nøgletal'!C15)^3</f>
        <v>0</v>
      </c>
      <c r="F19" s="13" t="s">
        <v>3</v>
      </c>
      <c r="G19" s="1"/>
    </row>
    <row r="20" spans="1:7" x14ac:dyDescent="0.25">
      <c r="A20" s="1"/>
      <c r="B20" s="1"/>
      <c r="C20" s="1"/>
      <c r="D20" s="1"/>
      <c r="E20" s="1"/>
      <c r="F20" s="1"/>
      <c r="G20" s="1"/>
    </row>
    <row r="21" spans="1:7" ht="15" customHeight="1" x14ac:dyDescent="0.25">
      <c r="A21" s="1"/>
      <c r="B21" s="127" t="s">
        <v>157</v>
      </c>
      <c r="C21" s="128"/>
      <c r="D21" s="128"/>
      <c r="E21" s="128"/>
      <c r="F21" s="129"/>
      <c r="G21" s="1"/>
    </row>
    <row r="22" spans="1:7" x14ac:dyDescent="0.25">
      <c r="A22" s="1"/>
      <c r="B22" s="159" t="s">
        <v>224</v>
      </c>
      <c r="C22" s="160"/>
      <c r="D22" s="161"/>
      <c r="E22" s="9">
        <v>0</v>
      </c>
      <c r="F22" s="14" t="s">
        <v>3</v>
      </c>
      <c r="G22" s="1"/>
    </row>
    <row r="23" spans="1:7" x14ac:dyDescent="0.25">
      <c r="A23" s="1"/>
      <c r="B23" s="121" t="s">
        <v>10</v>
      </c>
      <c r="C23" s="122"/>
      <c r="D23" s="123"/>
      <c r="E23" s="9">
        <f>-E22*'Fane 5. Individuelt eff. krav'!G9</f>
        <v>0</v>
      </c>
      <c r="F23" s="14" t="s">
        <v>3</v>
      </c>
      <c r="G23" s="1"/>
    </row>
    <row r="24" spans="1:7" x14ac:dyDescent="0.25">
      <c r="A24" s="1"/>
      <c r="B24" s="121" t="s">
        <v>24</v>
      </c>
      <c r="C24" s="122"/>
      <c r="D24" s="123"/>
      <c r="E24" s="9">
        <f>-E22*'Fane 15. Nøgletal'!C31</f>
        <v>0</v>
      </c>
      <c r="F24" s="14" t="s">
        <v>3</v>
      </c>
      <c r="G24" s="1"/>
    </row>
    <row r="25" spans="1:7" x14ac:dyDescent="0.25">
      <c r="A25" s="1"/>
      <c r="B25" s="127" t="s">
        <v>158</v>
      </c>
      <c r="C25" s="128"/>
      <c r="D25" s="129"/>
      <c r="E25" s="12">
        <f>SUM(E22:E24)*(1+'Fane 15. Nøgletal'!C15)^4</f>
        <v>0</v>
      </c>
      <c r="F25" s="13" t="s">
        <v>3</v>
      </c>
      <c r="G25" s="1"/>
    </row>
    <row r="26" spans="1:7" x14ac:dyDescent="0.25">
      <c r="A26" s="1"/>
      <c r="B26" s="1"/>
      <c r="C26" s="1"/>
      <c r="D26" s="1"/>
      <c r="E26" s="1"/>
      <c r="F26" s="1"/>
      <c r="G26" s="1"/>
    </row>
    <row r="27" spans="1:7" ht="15" customHeight="1" x14ac:dyDescent="0.25">
      <c r="A27" s="1"/>
      <c r="B27" s="127" t="s">
        <v>214</v>
      </c>
      <c r="C27" s="128"/>
      <c r="D27" s="128"/>
      <c r="E27" s="128"/>
      <c r="F27" s="129"/>
      <c r="G27" s="1"/>
    </row>
    <row r="28" spans="1:7" ht="14.25" customHeight="1" x14ac:dyDescent="0.25">
      <c r="A28" s="1"/>
      <c r="B28" s="159" t="s">
        <v>224</v>
      </c>
      <c r="C28" s="160"/>
      <c r="D28" s="161"/>
      <c r="E28" s="9">
        <v>0</v>
      </c>
      <c r="F28" s="14" t="s">
        <v>3</v>
      </c>
      <c r="G28" s="1"/>
    </row>
    <row r="29" spans="1:7" x14ac:dyDescent="0.25">
      <c r="A29" s="1"/>
      <c r="B29" s="121" t="s">
        <v>10</v>
      </c>
      <c r="C29" s="122"/>
      <c r="D29" s="123"/>
      <c r="E29" s="9">
        <f>-E28*'Fane 5. Individuelt eff. krav'!G9</f>
        <v>0</v>
      </c>
      <c r="F29" s="14" t="s">
        <v>3</v>
      </c>
      <c r="G29" s="1"/>
    </row>
    <row r="30" spans="1:7" x14ac:dyDescent="0.25">
      <c r="A30" s="1"/>
      <c r="B30" s="121" t="s">
        <v>24</v>
      </c>
      <c r="C30" s="122"/>
      <c r="D30" s="123"/>
      <c r="E30" s="9">
        <f>-E28*'Fane 15. Nøgletal'!C31</f>
        <v>0</v>
      </c>
      <c r="F30" s="14" t="s">
        <v>3</v>
      </c>
      <c r="G30" s="1"/>
    </row>
    <row r="31" spans="1:7" x14ac:dyDescent="0.25">
      <c r="A31" s="1"/>
      <c r="B31" s="127" t="s">
        <v>215</v>
      </c>
      <c r="C31" s="128"/>
      <c r="D31" s="129"/>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ah0Ryfb6V12tLsG+JTcu0WOTQw59J7U2n+EwIysN0aR9guVJnUjMElCli3aihZ1zQ/G4gwZgtVDY72Fhl3URQw==" saltValue="VCAes3cG6/6GlsDrktvlGg=="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259</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7" t="s">
        <v>132</v>
      </c>
      <c r="C8" s="128"/>
      <c r="D8" s="128"/>
      <c r="E8" s="128"/>
      <c r="F8" s="129"/>
      <c r="G8" s="1"/>
    </row>
    <row r="9" spans="1:7" ht="15" customHeight="1" x14ac:dyDescent="0.25">
      <c r="A9" s="1"/>
      <c r="B9" s="30" t="s">
        <v>133</v>
      </c>
      <c r="C9" s="30" t="s">
        <v>11</v>
      </c>
      <c r="D9" s="31"/>
      <c r="E9" s="30" t="s">
        <v>31</v>
      </c>
      <c r="F9" s="31"/>
      <c r="G9" s="1"/>
    </row>
    <row r="10" spans="1:7" x14ac:dyDescent="0.25">
      <c r="A10" s="1"/>
      <c r="B10" s="23" t="s">
        <v>272</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GfCCUlLaHUiynQpl86xoT93ypjmX0r6SC042IEbzt4kxf3w/wHgpxGCpjmA+vrPx+FXVW5dh/bZ5hUnYwMPWHA==" saltValue="8j+luslfr9IeLr98OD1Aaw=="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260</v>
      </c>
      <c r="C3" s="135"/>
      <c r="D3" s="135"/>
      <c r="E3" s="135"/>
      <c r="F3" s="135"/>
      <c r="G3" s="1"/>
    </row>
    <row r="4" spans="1:7" ht="25.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7" t="s">
        <v>93</v>
      </c>
      <c r="C9" s="128"/>
      <c r="D9" s="128"/>
      <c r="E9" s="128"/>
      <c r="F9" s="129"/>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4"/>
      <c r="C21" s="164"/>
      <c r="D21" s="164"/>
      <c r="E21" s="164"/>
      <c r="F21" s="164"/>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4"/>
      <c r="C27" s="164"/>
      <c r="D27" s="164"/>
      <c r="E27" s="164"/>
      <c r="F27" s="164"/>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PaXkEDdQpaKJwAaezHTuN32nGrQ+gMai22X9x+Z4YraPlqyqqTNHq9okqvtgY2hkNsas3+QMACAyeZp9G5Q69A==" saltValue="Hccs0OJbE1QgzpOB4TpqN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65460040.050760388</v>
      </c>
      <c r="D9" s="8" t="s">
        <v>3</v>
      </c>
      <c r="E9" s="1"/>
    </row>
    <row r="10" spans="1:5" ht="17.25" customHeight="1" x14ac:dyDescent="0.25">
      <c r="A10" s="1"/>
      <c r="B10" s="83" t="s">
        <v>39</v>
      </c>
      <c r="C10" s="7">
        <f>'Fane 11.1. Varige tillæg'!C13</f>
        <v>0</v>
      </c>
      <c r="D10" s="8" t="s">
        <v>3</v>
      </c>
      <c r="E10" s="1"/>
    </row>
    <row r="11" spans="1:5" ht="17.25" customHeight="1" x14ac:dyDescent="0.25">
      <c r="A11" s="1"/>
      <c r="B11" s="83" t="s">
        <v>40</v>
      </c>
      <c r="C11" s="9">
        <f>'Fane 11.1. Varige tillæg'!E13</f>
        <v>19292.1924</v>
      </c>
      <c r="D11" s="8" t="s">
        <v>3</v>
      </c>
      <c r="E11" s="1"/>
    </row>
    <row r="12" spans="1:5" ht="17.25" customHeight="1" x14ac:dyDescent="0.25">
      <c r="A12" s="1"/>
      <c r="B12" s="83" t="s">
        <v>27</v>
      </c>
      <c r="C12" s="9">
        <f>-'Fane 14. Bortfald'!C13</f>
        <v>0</v>
      </c>
      <c r="D12" s="8" t="s">
        <v>3</v>
      </c>
      <c r="E12" s="1"/>
    </row>
    <row r="13" spans="1:5" ht="17.25" customHeight="1" x14ac:dyDescent="0.25">
      <c r="A13" s="1"/>
      <c r="B13" s="83" t="s">
        <v>26</v>
      </c>
      <c r="C13" s="9">
        <f>-'Fane 14. Bortfald'!E13</f>
        <v>0</v>
      </c>
      <c r="D13" s="8" t="s">
        <v>3</v>
      </c>
      <c r="E13" s="1"/>
    </row>
    <row r="14" spans="1:5" ht="17.25" customHeight="1" x14ac:dyDescent="0.25">
      <c r="A14" s="1"/>
      <c r="B14" s="83" t="s">
        <v>124</v>
      </c>
      <c r="C14" s="9">
        <f>'Fane 13. Tilknyttet virksomhed'!C12</f>
        <v>0</v>
      </c>
      <c r="D14" s="8" t="s">
        <v>3</v>
      </c>
      <c r="E14" s="1"/>
    </row>
    <row r="15" spans="1:5" ht="17.25" customHeight="1" x14ac:dyDescent="0.25">
      <c r="A15" s="1"/>
      <c r="B15" s="83" t="s">
        <v>125</v>
      </c>
      <c r="C15" s="9">
        <f>'Fane 13. Tilknyttet virksomhed'!E12</f>
        <v>0</v>
      </c>
      <c r="D15" s="8" t="s">
        <v>3</v>
      </c>
      <c r="E15" s="1"/>
    </row>
    <row r="16" spans="1:5" ht="17.25" customHeight="1" x14ac:dyDescent="0.25">
      <c r="A16" s="1"/>
      <c r="B16" s="83" t="s">
        <v>19</v>
      </c>
      <c r="C16" s="44">
        <f>SUM(C9)*'Fane 15. Nøgletal'!C14+SUM(C10:C15)*'Fane 15. Nøgletal'!C15</f>
        <v>216704.9342169493</v>
      </c>
      <c r="D16" s="8" t="s">
        <v>3</v>
      </c>
      <c r="E16" s="1"/>
    </row>
    <row r="17" spans="1:5" ht="17.25" customHeight="1" x14ac:dyDescent="0.25">
      <c r="A17" s="1"/>
      <c r="B17" s="83" t="s">
        <v>10</v>
      </c>
      <c r="C17" s="44">
        <f>-SUM(C9,C10:C16)*'Fane 5. Individuelt eff. krav'!G9</f>
        <v>-157194.8879542689</v>
      </c>
      <c r="D17" s="8" t="s">
        <v>3</v>
      </c>
      <c r="E17" s="1"/>
    </row>
    <row r="18" spans="1:5" ht="17.25" customHeight="1" x14ac:dyDescent="0.25">
      <c r="A18" s="1"/>
      <c r="B18" s="83" t="s">
        <v>24</v>
      </c>
      <c r="C18" s="44">
        <f>-'Fane 4.1. Gen. krav - drift'!G45</f>
        <v>-546418.50371689978</v>
      </c>
      <c r="D18" s="8" t="s">
        <v>3</v>
      </c>
      <c r="E18" s="1"/>
    </row>
    <row r="19" spans="1:5" ht="17.25" customHeight="1" x14ac:dyDescent="0.25">
      <c r="A19" s="1"/>
      <c r="B19" s="83" t="s">
        <v>25</v>
      </c>
      <c r="C19" s="44">
        <f>-'Fane 4.2. Gen. krav - anlæg'!G43</f>
        <v>-580248.40735307848</v>
      </c>
      <c r="D19" s="8" t="s">
        <v>3</v>
      </c>
      <c r="E19" s="48"/>
    </row>
    <row r="20" spans="1:5" ht="17.25" customHeight="1" x14ac:dyDescent="0.25">
      <c r="A20" s="1"/>
      <c r="B20" s="89" t="s">
        <v>21</v>
      </c>
      <c r="C20" s="10">
        <f>SUM(C9:C19)</f>
        <v>64412175.378353082</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omk.'!C16+'Fane 6. Ikke-påvirkelige omk.'!C20+'Fane 6. Ikke-påvirkelige omk.'!C28</f>
        <v>3541572.8759992095</v>
      </c>
      <c r="D22" s="11" t="s">
        <v>3</v>
      </c>
      <c r="E22" s="1"/>
    </row>
    <row r="23" spans="1:5" ht="15" customHeight="1" x14ac:dyDescent="0.25">
      <c r="A23" s="1"/>
      <c r="B23" s="32" t="s">
        <v>86</v>
      </c>
      <c r="C23" s="27"/>
      <c r="D23" s="19"/>
      <c r="E23" s="1"/>
    </row>
    <row r="24" spans="1:5" ht="15" customHeight="1" x14ac:dyDescent="0.25">
      <c r="A24" s="1"/>
      <c r="B24" s="89"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3" t="s">
        <v>231</v>
      </c>
      <c r="C26" s="75">
        <f>'Fane 11.2. Engangstillæg'!C12</f>
        <v>0</v>
      </c>
      <c r="D26" s="8" t="s">
        <v>3</v>
      </c>
      <c r="E26" s="1"/>
    </row>
    <row r="27" spans="1:5" ht="15" customHeight="1" x14ac:dyDescent="0.25">
      <c r="A27" s="1"/>
      <c r="B27" s="83" t="s">
        <v>82</v>
      </c>
      <c r="C27" s="75">
        <f>'Fane 11.2. Engangstillæg'!E12</f>
        <v>0</v>
      </c>
      <c r="D27" s="8" t="s">
        <v>3</v>
      </c>
      <c r="E27" s="1"/>
    </row>
    <row r="28" spans="1:5" ht="15" customHeight="1" x14ac:dyDescent="0.25">
      <c r="A28" s="1"/>
      <c r="B28" s="83" t="s">
        <v>238</v>
      </c>
      <c r="C28" s="75">
        <f>-C26*('Fane 15. Nøgletal'!C31+'Fane 5. Individuelt eff. krav'!G9)</f>
        <v>0</v>
      </c>
      <c r="D28" s="8" t="s">
        <v>3</v>
      </c>
      <c r="E28" s="1"/>
    </row>
    <row r="29" spans="1:5" ht="15" customHeight="1" x14ac:dyDescent="0.25">
      <c r="A29" s="1"/>
      <c r="B29" s="83"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-365401.17999999993</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67588347.074352294</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tmIqfY7ktyqPyY4y8lIFeZK0nonAKPbVLBQSRz6idPu4QnWjb20aALPVDFDGwmZ8SrdYiZgKc2oZljQwqmMq5w==" saltValue="N4HkQiYDVh3mtdfkYhhfN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5" t="s">
        <v>261</v>
      </c>
      <c r="C3" s="135"/>
      <c r="D3" s="1"/>
    </row>
    <row r="4" spans="1:4" ht="25.5" customHeight="1" x14ac:dyDescent="0.25">
      <c r="A4" s="1"/>
      <c r="B4" s="135"/>
      <c r="C4" s="13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n817GyWwlamHyGtaeeeBbfXyU7YDgEmQOURrTVp9Gs9Qas55gJFe1HGH3hEZYH1UPrPvIgy8q+ZoGxrCWOd0GA==" saltValue="50O0YJhPdGNV2NzY2MrNQ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64412175.378353082</v>
      </c>
      <c r="D9" s="8" t="s">
        <v>3</v>
      </c>
      <c r="E9" s="1"/>
    </row>
    <row r="10" spans="1:5" ht="15" customHeight="1" x14ac:dyDescent="0.25">
      <c r="A10" s="1"/>
      <c r="B10" s="25" t="s">
        <v>19</v>
      </c>
      <c r="C10" s="7">
        <f>SUM(C9:C9)*'Fane 15. Nøgletal'!C15</f>
        <v>2293073.4434693698</v>
      </c>
      <c r="D10" s="8" t="s">
        <v>3</v>
      </c>
      <c r="E10" s="1"/>
    </row>
    <row r="11" spans="1:5" ht="15" customHeight="1" x14ac:dyDescent="0.25">
      <c r="A11" s="1"/>
      <c r="B11" s="25" t="s">
        <v>10</v>
      </c>
      <c r="C11" s="9">
        <f>-SUM(C9:C10)*'Fane 5. Individuelt eff. krav'!G9</f>
        <v>-159609.68979296065</v>
      </c>
      <c r="D11" s="8" t="s">
        <v>3</v>
      </c>
      <c r="E11" s="1"/>
    </row>
    <row r="12" spans="1:5" ht="15" customHeight="1" x14ac:dyDescent="0.25">
      <c r="A12" s="1"/>
      <c r="B12" s="25" t="s">
        <v>24</v>
      </c>
      <c r="C12" s="9">
        <f>-'Fane 4.1. Gen. krav - drift'!G53</f>
        <v>-554553.58240023698</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65991085.549629249</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Nøgletal'!C15)+'Fane 6. Ikke-påvirkelige omk.'!C21+'Fane 6. Ikke-påvirkelige omk.'!C29</f>
        <v>3630429.7239847817</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69621515.273614034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1qrYFX4aWuzKox4SyBHPJQ4k/zhI0N01H1ntFn6UOsuLrbY8O50OMaPyPVu8Do+ZUwkLHb7WmtkPdXHWj3RTA==" saltValue="j88hjARNm254mTHcn3W8m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65991085.549629249</v>
      </c>
      <c r="D9" s="8" t="s">
        <v>3</v>
      </c>
      <c r="E9" s="1"/>
    </row>
    <row r="10" spans="1:5" ht="15" customHeight="1" x14ac:dyDescent="0.25">
      <c r="A10" s="1"/>
      <c r="B10" s="25" t="s">
        <v>19</v>
      </c>
      <c r="C10" s="7">
        <f>SUM(C9:C9)*'Fane 15. Nøgletal'!C15</f>
        <v>2349282.6455668011</v>
      </c>
      <c r="D10" s="8" t="s">
        <v>3</v>
      </c>
      <c r="E10" s="1"/>
    </row>
    <row r="11" spans="1:5" ht="15" customHeight="1" x14ac:dyDescent="0.25">
      <c r="A11" s="1"/>
      <c r="B11" s="25" t="s">
        <v>10</v>
      </c>
      <c r="C11" s="9">
        <f>-SUM(C9:C10)*'Fane 5. Individuelt eff. krav'!G9</f>
        <v>-163522.13897152126</v>
      </c>
      <c r="D11" s="8" t="s">
        <v>3</v>
      </c>
      <c r="E11" s="1"/>
    </row>
    <row r="12" spans="1:5" ht="15" customHeight="1" x14ac:dyDescent="0.25">
      <c r="A12" s="1"/>
      <c r="B12" s="25" t="s">
        <v>24</v>
      </c>
      <c r="C12" s="9">
        <f>-'Fane 4.1. Gen. krav - drift'!G58</f>
        <v>-562809.77613501181</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67614036.280089512</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Nøgletal'!C15)^2+'Fane 6. Ikke-påvirkelige omk.'!C22+'Fane 6. Ikke-påvirkelige omk.'!C30</f>
        <v>3722449.87575864</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71336486.155848145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Et3hlVfOxcAXefTwiaBs7oRKZ44on78EeiBz8cylx6trkpU2QtqaxNf59L3gse8D94nnuF2V98tWRIuJwt6JIA==" saltValue="zPiiJOEltwPA9WCUwwr18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67614036.280089512</v>
      </c>
      <c r="D9" s="8" t="s">
        <v>3</v>
      </c>
      <c r="E9" s="1"/>
    </row>
    <row r="10" spans="1:5" ht="15" customHeight="1" x14ac:dyDescent="0.25">
      <c r="A10" s="1"/>
      <c r="B10" s="25" t="s">
        <v>19</v>
      </c>
      <c r="C10" s="7">
        <f>SUM(C9:C9)*'Fane 15. Nøgletal'!C15</f>
        <v>2407059.6915711868</v>
      </c>
      <c r="D10" s="8" t="s">
        <v>3</v>
      </c>
      <c r="E10" s="1"/>
    </row>
    <row r="11" spans="1:5" ht="15" customHeight="1" x14ac:dyDescent="0.25">
      <c r="A11" s="1"/>
      <c r="B11" s="25" t="s">
        <v>10</v>
      </c>
      <c r="C11" s="9">
        <f>-SUM(C9:C10)*'Fane 5. Individuelt eff. krav'!G9</f>
        <v>-167543.7181390691</v>
      </c>
      <c r="D11" s="8" t="s">
        <v>3</v>
      </c>
      <c r="E11" s="1"/>
    </row>
    <row r="12" spans="1:5" ht="15" customHeight="1" x14ac:dyDescent="0.25">
      <c r="A12" s="1"/>
      <c r="B12" s="25" t="s">
        <v>24</v>
      </c>
      <c r="C12" s="9">
        <f>-'Fane 4.1. Gen. krav - drift'!G63</f>
        <v>-571188.88808210997</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69282363.365439519</v>
      </c>
      <c r="D14" s="11" t="s">
        <v>3</v>
      </c>
      <c r="E14" s="1"/>
    </row>
    <row r="15" spans="1:5" x14ac:dyDescent="0.25">
      <c r="A15" s="1"/>
      <c r="B15" s="32" t="s">
        <v>12</v>
      </c>
      <c r="C15" s="27"/>
      <c r="D15" s="19"/>
      <c r="E15" s="1"/>
    </row>
    <row r="16" spans="1:5" ht="15" customHeight="1" x14ac:dyDescent="0.25">
      <c r="A16" s="1"/>
      <c r="B16" s="30" t="s">
        <v>12</v>
      </c>
      <c r="C16" s="10">
        <f>'Fane 6. Ikke-påvirkelige omk.'!C16*(1+'Fane 15. Nøgletal'!C15)^3+'Fane 6. Ikke-påvirkelige omk.'!C23+'Fane 6. Ikke-påvirkelige omk.'!C31</f>
        <v>3817745.9449356478</v>
      </c>
      <c r="D16" s="11" t="s">
        <v>3</v>
      </c>
      <c r="E16" s="1"/>
    </row>
    <row r="17" spans="1:5" ht="15" customHeight="1" x14ac:dyDescent="0.25">
      <c r="A17" s="1"/>
      <c r="B17" s="32" t="s">
        <v>86</v>
      </c>
      <c r="C17" s="27"/>
      <c r="D17" s="19"/>
      <c r="E17" s="1"/>
    </row>
    <row r="18" spans="1:5" ht="15" customHeight="1" x14ac:dyDescent="0.25">
      <c r="A18" s="1"/>
      <c r="B18" s="89"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0</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73100109.310375169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Zhxtv03QaU1h+r2Mng+o81hfdX1LTF8mzUqGqMwQEeLRhMY/3y3zLNwcmt15SVfydOB+s3++ITBkChQgKrUKDA==" saltValue="w6/tSLxvCFgN3UwEvXtSd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5" t="s">
        <v>191</v>
      </c>
      <c r="C3" s="135"/>
      <c r="D3" s="135"/>
      <c r="E3" s="135"/>
      <c r="F3" s="135"/>
      <c r="G3" s="1"/>
    </row>
    <row r="4" spans="1:7" ht="29.25" customHeight="1" x14ac:dyDescent="0.25">
      <c r="A4" s="1"/>
      <c r="B4" s="135"/>
      <c r="C4" s="135"/>
      <c r="D4" s="135"/>
      <c r="E4" s="135"/>
      <c r="F4" s="13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287</v>
      </c>
      <c r="C8" s="27"/>
      <c r="D8" s="27"/>
      <c r="E8" s="27"/>
      <c r="F8" s="19"/>
      <c r="G8" s="1"/>
    </row>
    <row r="9" spans="1:7" ht="15" customHeight="1" x14ac:dyDescent="0.25">
      <c r="A9" s="1"/>
      <c r="B9" s="130" t="s">
        <v>192</v>
      </c>
      <c r="C9" s="131"/>
      <c r="D9" s="132"/>
      <c r="E9" s="7">
        <v>66460970.284692474</v>
      </c>
      <c r="F9" s="8" t="s">
        <v>3</v>
      </c>
      <c r="G9" s="1"/>
    </row>
    <row r="10" spans="1:7" ht="15" customHeight="1" x14ac:dyDescent="0.25">
      <c r="A10" s="1"/>
      <c r="B10" s="121" t="s">
        <v>39</v>
      </c>
      <c r="C10" s="122"/>
      <c r="D10" s="123"/>
      <c r="E10" s="7">
        <v>0</v>
      </c>
      <c r="F10" s="8" t="s">
        <v>3</v>
      </c>
      <c r="G10" s="1"/>
    </row>
    <row r="11" spans="1:7" ht="15" customHeight="1" x14ac:dyDescent="0.25">
      <c r="A11" s="1"/>
      <c r="B11" s="121" t="s">
        <v>40</v>
      </c>
      <c r="C11" s="122"/>
      <c r="D11" s="123"/>
      <c r="E11" s="9">
        <v>81988.67270000001</v>
      </c>
      <c r="F11" s="8" t="s">
        <v>3</v>
      </c>
      <c r="G11" s="1"/>
    </row>
    <row r="12" spans="1:7" ht="15" customHeight="1" x14ac:dyDescent="0.25">
      <c r="A12" s="1"/>
      <c r="B12" s="121" t="s">
        <v>27</v>
      </c>
      <c r="C12" s="122"/>
      <c r="D12" s="123"/>
      <c r="E12" s="9">
        <v>0</v>
      </c>
      <c r="F12" s="8" t="s">
        <v>3</v>
      </c>
      <c r="G12" s="1"/>
    </row>
    <row r="13" spans="1:7" ht="15" customHeight="1" x14ac:dyDescent="0.25">
      <c r="A13" s="1"/>
      <c r="B13" s="130" t="s">
        <v>26</v>
      </c>
      <c r="C13" s="131"/>
      <c r="D13" s="132"/>
      <c r="E13" s="9">
        <v>0</v>
      </c>
      <c r="F13" s="8" t="s">
        <v>3</v>
      </c>
      <c r="G13" s="1"/>
    </row>
    <row r="14" spans="1:7" ht="15" customHeight="1" x14ac:dyDescent="0.25">
      <c r="A14" s="1"/>
      <c r="B14" s="130" t="s">
        <v>29</v>
      </c>
      <c r="C14" s="131"/>
      <c r="D14" s="132"/>
      <c r="E14" s="9">
        <v>0</v>
      </c>
      <c r="F14" s="8" t="s">
        <v>3</v>
      </c>
      <c r="G14" s="1"/>
    </row>
    <row r="15" spans="1:7" ht="15" customHeight="1" x14ac:dyDescent="0.25">
      <c r="A15" s="1"/>
      <c r="B15" s="130" t="s">
        <v>28</v>
      </c>
      <c r="C15" s="131"/>
      <c r="D15" s="132"/>
      <c r="E15" s="9">
        <v>0</v>
      </c>
      <c r="F15" s="8" t="s">
        <v>3</v>
      </c>
      <c r="G15" s="1"/>
    </row>
    <row r="16" spans="1:7" ht="15" customHeight="1" x14ac:dyDescent="0.25">
      <c r="A16" s="1"/>
      <c r="B16" s="130" t="s">
        <v>19</v>
      </c>
      <c r="C16" s="131"/>
      <c r="D16" s="132"/>
      <c r="E16" s="9">
        <f>SUM(E9:E15)*'Fane 15. Nøgletal'!C14</f>
        <v>219591.76455939517</v>
      </c>
      <c r="F16" s="8" t="s">
        <v>3</v>
      </c>
      <c r="G16" s="1"/>
    </row>
    <row r="17" spans="1:7" ht="15" customHeight="1" x14ac:dyDescent="0.25">
      <c r="A17" s="1"/>
      <c r="B17" s="130" t="s">
        <v>10</v>
      </c>
      <c r="C17" s="131"/>
      <c r="D17" s="132"/>
      <c r="E17" s="9">
        <v>-159746.79952069189</v>
      </c>
      <c r="F17" s="8" t="s">
        <v>3</v>
      </c>
      <c r="G17" s="1"/>
    </row>
    <row r="18" spans="1:7" ht="15" customHeight="1" x14ac:dyDescent="0.25">
      <c r="A18" s="1"/>
      <c r="B18" s="130" t="s">
        <v>24</v>
      </c>
      <c r="C18" s="131"/>
      <c r="D18" s="132"/>
      <c r="E18" s="9">
        <f>-'Fane 4.1. Gen. krav - drift'!G39</f>
        <v>-555735.97304090357</v>
      </c>
      <c r="F18" s="8" t="s">
        <v>3</v>
      </c>
      <c r="G18" s="1"/>
    </row>
    <row r="19" spans="1:7" ht="15" customHeight="1" x14ac:dyDescent="0.25">
      <c r="A19" s="1"/>
      <c r="B19" s="130" t="s">
        <v>25</v>
      </c>
      <c r="C19" s="131"/>
      <c r="D19" s="132"/>
      <c r="E19" s="9">
        <f>-'Fane 4.2. Gen. krav - anlæg'!G37</f>
        <v>-587027.89862989122</v>
      </c>
      <c r="F19" s="8" t="s">
        <v>3</v>
      </c>
      <c r="G19" s="1"/>
    </row>
    <row r="20" spans="1:7" ht="15" customHeight="1" x14ac:dyDescent="0.25">
      <c r="A20" s="1"/>
      <c r="B20" s="54" t="s">
        <v>21</v>
      </c>
      <c r="C20" s="90"/>
      <c r="D20" s="96"/>
      <c r="E20" s="51">
        <f>SUM(E9:E19)</f>
        <v>65460040.050760388</v>
      </c>
      <c r="F20" s="53" t="s">
        <v>3</v>
      </c>
      <c r="G20" s="1"/>
    </row>
    <row r="21" spans="1:7" ht="15" customHeight="1" x14ac:dyDescent="0.25">
      <c r="A21" s="1"/>
      <c r="B21" s="32" t="s">
        <v>12</v>
      </c>
      <c r="C21" s="27"/>
      <c r="D21" s="27"/>
      <c r="E21" s="27"/>
      <c r="F21" s="19"/>
      <c r="G21" s="1"/>
    </row>
    <row r="22" spans="1:7" ht="15" customHeight="1" x14ac:dyDescent="0.25">
      <c r="A22" s="1"/>
      <c r="B22" s="124" t="s">
        <v>12</v>
      </c>
      <c r="C22" s="125"/>
      <c r="D22" s="126"/>
      <c r="E22" s="10">
        <v>3578556.55874517</v>
      </c>
      <c r="F22" s="11" t="s">
        <v>3</v>
      </c>
      <c r="G22" s="1"/>
    </row>
    <row r="23" spans="1:7" ht="15" customHeight="1" x14ac:dyDescent="0.25">
      <c r="A23" s="1"/>
      <c r="B23" s="127" t="s">
        <v>86</v>
      </c>
      <c r="C23" s="128"/>
      <c r="D23" s="129"/>
      <c r="E23" s="27"/>
      <c r="F23" s="27"/>
      <c r="G23" s="1"/>
    </row>
    <row r="24" spans="1:7" ht="15" customHeight="1" x14ac:dyDescent="0.25">
      <c r="A24" s="1"/>
      <c r="B24" s="89"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1" t="s">
        <v>81</v>
      </c>
      <c r="C26" s="122"/>
      <c r="D26" s="123"/>
      <c r="E26" s="9">
        <v>0</v>
      </c>
      <c r="F26" s="8" t="s">
        <v>3</v>
      </c>
      <c r="G26" s="1"/>
    </row>
    <row r="27" spans="1:7" ht="15" customHeight="1" x14ac:dyDescent="0.25">
      <c r="A27" s="1"/>
      <c r="B27" s="121" t="s">
        <v>82</v>
      </c>
      <c r="C27" s="122"/>
      <c r="D27" s="122"/>
      <c r="E27" s="9">
        <v>0</v>
      </c>
      <c r="F27" s="8" t="s">
        <v>3</v>
      </c>
      <c r="G27" s="1"/>
    </row>
    <row r="28" spans="1:7" ht="15" customHeight="1" x14ac:dyDescent="0.25">
      <c r="A28" s="1"/>
      <c r="B28" s="133" t="s">
        <v>87</v>
      </c>
      <c r="C28" s="134"/>
      <c r="D28" s="134"/>
      <c r="E28" s="39">
        <v>0</v>
      </c>
      <c r="F28" s="11" t="s">
        <v>3</v>
      </c>
      <c r="G28" s="1"/>
    </row>
    <row r="29" spans="1:7" ht="15" customHeight="1" x14ac:dyDescent="0.25">
      <c r="A29" s="1"/>
      <c r="B29" s="32" t="s">
        <v>143</v>
      </c>
      <c r="C29" s="32"/>
      <c r="D29" s="32"/>
      <c r="E29" s="27"/>
      <c r="F29" s="27"/>
      <c r="G29" s="1"/>
    </row>
    <row r="30" spans="1:7" ht="15" customHeight="1" x14ac:dyDescent="0.25">
      <c r="A30" s="1"/>
      <c r="B30" s="124" t="s">
        <v>142</v>
      </c>
      <c r="C30" s="125"/>
      <c r="D30" s="125"/>
      <c r="E30" s="39">
        <v>0</v>
      </c>
      <c r="F30" s="11" t="s">
        <v>3</v>
      </c>
      <c r="G30" s="1"/>
    </row>
    <row r="31" spans="1:7" x14ac:dyDescent="0.25">
      <c r="A31" s="1"/>
      <c r="B31" s="32" t="s">
        <v>123</v>
      </c>
      <c r="C31" s="27"/>
      <c r="D31" s="27"/>
      <c r="E31" s="27"/>
      <c r="F31" s="27"/>
      <c r="G31" s="1"/>
    </row>
    <row r="32" spans="1:7" ht="15.4" customHeight="1" x14ac:dyDescent="0.25">
      <c r="A32" s="1"/>
      <c r="B32" s="124" t="s">
        <v>123</v>
      </c>
      <c r="C32" s="125"/>
      <c r="D32" s="126"/>
      <c r="E32" s="10">
        <v>-365401</v>
      </c>
      <c r="F32" s="11" t="s">
        <v>3</v>
      </c>
      <c r="G32" s="1"/>
    </row>
    <row r="33" spans="1:7" ht="15.4" customHeight="1" x14ac:dyDescent="0.25">
      <c r="A33" s="1"/>
      <c r="B33" s="127" t="s">
        <v>175</v>
      </c>
      <c r="C33" s="128"/>
      <c r="D33" s="128"/>
      <c r="E33" s="128"/>
      <c r="F33" s="129"/>
      <c r="G33" s="1"/>
    </row>
    <row r="34" spans="1:7" ht="15.4" customHeight="1" x14ac:dyDescent="0.25">
      <c r="A34" s="1"/>
      <c r="B34" s="95" t="s">
        <v>176</v>
      </c>
      <c r="C34" s="10"/>
      <c r="D34" s="11"/>
      <c r="E34" s="10">
        <f>'Fane 8. Skattesagen'!G11</f>
        <v>0</v>
      </c>
      <c r="F34" s="11" t="s">
        <v>3</v>
      </c>
      <c r="G34" s="1"/>
    </row>
    <row r="35" spans="1:7" x14ac:dyDescent="0.25">
      <c r="A35" s="1"/>
      <c r="B35" s="55" t="s">
        <v>218</v>
      </c>
      <c r="C35" s="56"/>
      <c r="D35" s="19"/>
      <c r="E35" s="45">
        <f>SUM(E32,E30,E28,E24,E22,E20,E34)</f>
        <v>68673195.609505564</v>
      </c>
      <c r="F35" s="52" t="s">
        <v>3</v>
      </c>
      <c r="G35" s="1"/>
    </row>
    <row r="36" spans="1:7" ht="27" customHeight="1" x14ac:dyDescent="0.25">
      <c r="A36" s="1"/>
      <c r="B36" s="130" t="s">
        <v>222</v>
      </c>
      <c r="C36" s="131"/>
      <c r="D36" s="131"/>
      <c r="E36" s="131"/>
      <c r="F36" s="132"/>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CoWkfqnNkQL/Js4lRo09IyTmjBvlUTXy0xD0MMfBqmQVdoyZYbOwOWuEJ/UlFKYHJft7w/PNveafH/M9cKY1OA==" saltValue="xDeKjy2jhs5WhlddX6FT2w=="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5" t="s">
        <v>109</v>
      </c>
      <c r="C2" s="135"/>
      <c r="D2" s="135"/>
      <c r="E2" s="135"/>
      <c r="F2" s="135"/>
      <c r="G2" s="135"/>
      <c r="H2" s="135"/>
      <c r="I2" s="1"/>
    </row>
    <row r="3" spans="1:9" ht="28.5" customHeight="1" x14ac:dyDescent="0.25">
      <c r="A3" s="1"/>
      <c r="B3" s="135"/>
      <c r="C3" s="135"/>
      <c r="D3" s="135"/>
      <c r="E3" s="135"/>
      <c r="F3" s="135"/>
      <c r="G3" s="135"/>
      <c r="H3" s="135"/>
      <c r="I3" s="1"/>
    </row>
    <row r="4" spans="1:9" x14ac:dyDescent="0.25">
      <c r="A4" s="1"/>
      <c r="B4" s="127" t="s">
        <v>52</v>
      </c>
      <c r="C4" s="128"/>
      <c r="D4" s="128"/>
      <c r="E4" s="128"/>
      <c r="F4" s="128"/>
      <c r="G4" s="128"/>
      <c r="H4" s="129"/>
      <c r="I4" s="1"/>
    </row>
    <row r="5" spans="1:9" x14ac:dyDescent="0.25">
      <c r="A5" s="1"/>
      <c r="B5" s="137" t="s">
        <v>41</v>
      </c>
      <c r="C5" s="138"/>
      <c r="D5" s="138"/>
      <c r="E5" s="138"/>
      <c r="F5" s="139"/>
      <c r="G5" s="76">
        <v>28461884</v>
      </c>
      <c r="H5" s="14" t="s">
        <v>3</v>
      </c>
      <c r="I5" s="1"/>
    </row>
    <row r="6" spans="1:9" x14ac:dyDescent="0.25">
      <c r="A6" s="1"/>
      <c r="B6" s="130" t="s">
        <v>120</v>
      </c>
      <c r="C6" s="131"/>
      <c r="D6" s="131"/>
      <c r="E6" s="131"/>
      <c r="F6" s="132"/>
      <c r="G6" s="77">
        <v>0</v>
      </c>
      <c r="H6" s="14" t="s">
        <v>3</v>
      </c>
      <c r="I6" s="1"/>
    </row>
    <row r="7" spans="1:9" x14ac:dyDescent="0.25">
      <c r="A7" s="1"/>
      <c r="B7" s="137" t="s">
        <v>42</v>
      </c>
      <c r="C7" s="138"/>
      <c r="D7" s="138"/>
      <c r="E7" s="138"/>
      <c r="F7" s="139"/>
      <c r="G7" s="76">
        <f>SUM(G5:G6)*'Fane 15. Nøgletal'!C31</f>
        <v>569237.68000000005</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27" t="s">
        <v>53</v>
      </c>
      <c r="C10" s="128"/>
      <c r="D10" s="128"/>
      <c r="E10" s="128"/>
      <c r="F10" s="128"/>
      <c r="G10" s="136"/>
      <c r="H10" s="129"/>
      <c r="I10" s="1"/>
    </row>
    <row r="11" spans="1:9" x14ac:dyDescent="0.25">
      <c r="A11" s="1"/>
      <c r="B11" s="137" t="s">
        <v>43</v>
      </c>
      <c r="C11" s="138"/>
      <c r="D11" s="138"/>
      <c r="E11" s="138"/>
      <c r="F11" s="139"/>
      <c r="G11" s="76">
        <f>(G5-G7)*(1+'Fane 15. Nøgletal'!C10)</f>
        <v>28380767.630600002</v>
      </c>
      <c r="H11" s="14" t="s">
        <v>3</v>
      </c>
      <c r="I11" s="1"/>
    </row>
    <row r="12" spans="1:9" ht="15" customHeight="1" x14ac:dyDescent="0.25">
      <c r="A12" s="1"/>
      <c r="B12" s="137" t="s">
        <v>121</v>
      </c>
      <c r="C12" s="138"/>
      <c r="D12" s="138"/>
      <c r="E12" s="138"/>
      <c r="F12" s="139"/>
      <c r="G12" s="77">
        <v>0.30732353514060379</v>
      </c>
      <c r="H12" s="14" t="s">
        <v>3</v>
      </c>
      <c r="I12" s="1"/>
    </row>
    <row r="13" spans="1:9" x14ac:dyDescent="0.25">
      <c r="A13" s="1"/>
      <c r="B13" s="130" t="s">
        <v>118</v>
      </c>
      <c r="C13" s="131"/>
      <c r="D13" s="131"/>
      <c r="E13" s="131"/>
      <c r="F13" s="132"/>
      <c r="G13" s="77">
        <v>0</v>
      </c>
      <c r="H13" s="14" t="s">
        <v>3</v>
      </c>
      <c r="I13" s="1"/>
    </row>
    <row r="14" spans="1:9" x14ac:dyDescent="0.25">
      <c r="A14" s="1"/>
      <c r="B14" s="140" t="s">
        <v>44</v>
      </c>
      <c r="C14" s="141"/>
      <c r="D14" s="141"/>
      <c r="E14" s="141"/>
      <c r="F14" s="142"/>
      <c r="G14" s="77">
        <v>0</v>
      </c>
      <c r="H14" s="14" t="s">
        <v>3</v>
      </c>
      <c r="I14" s="1"/>
    </row>
    <row r="15" spans="1:9" x14ac:dyDescent="0.25">
      <c r="A15" s="1"/>
      <c r="B15" s="137" t="s">
        <v>45</v>
      </c>
      <c r="C15" s="138"/>
      <c r="D15" s="138"/>
      <c r="E15" s="138"/>
      <c r="F15" s="139"/>
      <c r="G15" s="76">
        <f>SUM(G11:G14)*'Fane 15. Nøgletal'!C31</f>
        <v>567615.35875847074</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27" t="s">
        <v>54</v>
      </c>
      <c r="C18" s="128"/>
      <c r="D18" s="128"/>
      <c r="E18" s="128"/>
      <c r="F18" s="128"/>
      <c r="G18" s="136"/>
      <c r="H18" s="129"/>
      <c r="I18" s="1"/>
    </row>
    <row r="19" spans="1:9" x14ac:dyDescent="0.25">
      <c r="A19" s="1"/>
      <c r="B19" s="137" t="s">
        <v>46</v>
      </c>
      <c r="C19" s="138"/>
      <c r="D19" s="138"/>
      <c r="E19" s="138"/>
      <c r="F19" s="139"/>
      <c r="G19" s="76">
        <f>(SUM(G11:G12,G14)-(G15))*(1+'Fane 15. Nøgletal'!C10)</f>
        <v>28299882.749300454</v>
      </c>
      <c r="H19" s="14" t="s">
        <v>3</v>
      </c>
      <c r="I19" s="1"/>
    </row>
    <row r="20" spans="1:9" x14ac:dyDescent="0.25">
      <c r="A20" s="1"/>
      <c r="B20" s="140" t="s">
        <v>47</v>
      </c>
      <c r="C20" s="141"/>
      <c r="D20" s="141"/>
      <c r="E20" s="141"/>
      <c r="F20" s="142"/>
      <c r="G20" s="77">
        <v>0</v>
      </c>
      <c r="H20" s="14" t="s">
        <v>3</v>
      </c>
      <c r="I20" s="1"/>
    </row>
    <row r="21" spans="1:9" x14ac:dyDescent="0.25">
      <c r="A21" s="1"/>
      <c r="B21" s="137" t="s">
        <v>48</v>
      </c>
      <c r="C21" s="138"/>
      <c r="D21" s="138"/>
      <c r="E21" s="138"/>
      <c r="F21" s="139"/>
      <c r="G21" s="76">
        <f>SUM(G19:G20)*'Fane 15. Nøgletal'!C31</f>
        <v>565997.65498600912</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27" t="s">
        <v>55</v>
      </c>
      <c r="C24" s="128"/>
      <c r="D24" s="128"/>
      <c r="E24" s="128"/>
      <c r="F24" s="128"/>
      <c r="G24" s="136"/>
      <c r="H24" s="129"/>
      <c r="I24" s="1"/>
    </row>
    <row r="25" spans="1:9" x14ac:dyDescent="0.25">
      <c r="A25" s="1"/>
      <c r="B25" s="137" t="s">
        <v>49</v>
      </c>
      <c r="C25" s="138"/>
      <c r="D25" s="138"/>
      <c r="E25" s="138"/>
      <c r="F25" s="139"/>
      <c r="G25" s="76">
        <f>(G19+G20-G21)*(1+'Fane 15. Nøgletal'!C12)</f>
        <v>28280242.63067244</v>
      </c>
      <c r="H25" s="14" t="s">
        <v>3</v>
      </c>
      <c r="I25" s="1"/>
    </row>
    <row r="26" spans="1:9" x14ac:dyDescent="0.25">
      <c r="A26" s="1"/>
      <c r="B26" s="140" t="s">
        <v>50</v>
      </c>
      <c r="C26" s="141"/>
      <c r="D26" s="141"/>
      <c r="E26" s="141"/>
      <c r="F26" s="142"/>
      <c r="G26" s="77">
        <v>0</v>
      </c>
      <c r="H26" s="14" t="s">
        <v>3</v>
      </c>
      <c r="I26" s="1"/>
    </row>
    <row r="27" spans="1:9" x14ac:dyDescent="0.25">
      <c r="A27" s="1"/>
      <c r="B27" s="137" t="s">
        <v>51</v>
      </c>
      <c r="C27" s="138"/>
      <c r="D27" s="138"/>
      <c r="E27" s="138"/>
      <c r="F27" s="139"/>
      <c r="G27" s="76">
        <f>(G25+G26)*'Fane 15. Nøgletal'!C31</f>
        <v>565604.85261344886</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27" t="s">
        <v>58</v>
      </c>
      <c r="C30" s="128"/>
      <c r="D30" s="128"/>
      <c r="E30" s="128"/>
      <c r="F30" s="128"/>
      <c r="G30" s="136"/>
      <c r="H30" s="129"/>
      <c r="I30" s="1"/>
    </row>
    <row r="31" spans="1:9" x14ac:dyDescent="0.25">
      <c r="A31" s="1"/>
      <c r="B31" s="137" t="s">
        <v>59</v>
      </c>
      <c r="C31" s="138"/>
      <c r="D31" s="138"/>
      <c r="E31" s="138"/>
      <c r="F31" s="139"/>
      <c r="G31" s="76">
        <f>(G25+G26-G27)*(1+'Fane 15. Nøgletal'!C12)</f>
        <v>28260616.142286755</v>
      </c>
      <c r="H31" s="14" t="s">
        <v>3</v>
      </c>
      <c r="I31" s="1"/>
    </row>
    <row r="32" spans="1:9" x14ac:dyDescent="0.25">
      <c r="A32" s="1"/>
      <c r="B32" s="137" t="s">
        <v>137</v>
      </c>
      <c r="C32" s="138"/>
      <c r="D32" s="138"/>
      <c r="E32" s="138"/>
      <c r="F32" s="139"/>
      <c r="G32" s="76">
        <v>0</v>
      </c>
      <c r="H32" s="14" t="s">
        <v>3</v>
      </c>
      <c r="I32" s="1"/>
    </row>
    <row r="33" spans="1:9" x14ac:dyDescent="0.25">
      <c r="A33" s="1"/>
      <c r="B33" s="137" t="s">
        <v>60</v>
      </c>
      <c r="C33" s="138"/>
      <c r="D33" s="138"/>
      <c r="E33" s="138"/>
      <c r="F33" s="139"/>
      <c r="G33" s="76">
        <f>(G31+G32)*'Fane 15. Nøgletal'!C31</f>
        <v>565212.32284573512</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27" t="s">
        <v>160</v>
      </c>
      <c r="C36" s="128"/>
      <c r="D36" s="128"/>
      <c r="E36" s="128"/>
      <c r="F36" s="128"/>
      <c r="G36" s="136"/>
      <c r="H36" s="129"/>
      <c r="I36" s="1"/>
    </row>
    <row r="37" spans="1:9" x14ac:dyDescent="0.25">
      <c r="A37" s="1"/>
      <c r="B37" s="137" t="s">
        <v>79</v>
      </c>
      <c r="C37" s="138"/>
      <c r="D37" s="138"/>
      <c r="E37" s="138"/>
      <c r="F37" s="139"/>
      <c r="G37" s="76">
        <f>(G31+G32-G33)*(1+'Fane 15. Nøgletal'!C14)</f>
        <v>27786798.652045179</v>
      </c>
      <c r="H37" s="14" t="s">
        <v>3</v>
      </c>
      <c r="I37" s="1"/>
    </row>
    <row r="38" spans="1:9" x14ac:dyDescent="0.25">
      <c r="A38" s="1"/>
      <c r="B38" s="137" t="s">
        <v>164</v>
      </c>
      <c r="C38" s="138"/>
      <c r="D38" s="138"/>
      <c r="E38" s="138"/>
      <c r="F38" s="139"/>
      <c r="G38" s="76">
        <v>0</v>
      </c>
      <c r="H38" s="14" t="s">
        <v>3</v>
      </c>
      <c r="I38" s="1"/>
    </row>
    <row r="39" spans="1:9" x14ac:dyDescent="0.25">
      <c r="A39" s="1"/>
      <c r="B39" s="137" t="s">
        <v>162</v>
      </c>
      <c r="C39" s="138"/>
      <c r="D39" s="138"/>
      <c r="E39" s="138"/>
      <c r="F39" s="139"/>
      <c r="G39" s="76">
        <f>(G37+G38)*'Fane 15. Nøgletal'!C31</f>
        <v>555735.97304090357</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27" t="s">
        <v>161</v>
      </c>
      <c r="C42" s="128"/>
      <c r="D42" s="128"/>
      <c r="E42" s="128"/>
      <c r="F42" s="128"/>
      <c r="G42" s="136"/>
      <c r="H42" s="129"/>
      <c r="I42" s="1"/>
    </row>
    <row r="43" spans="1:9" x14ac:dyDescent="0.25">
      <c r="A43" s="1"/>
      <c r="B43" s="137" t="s">
        <v>228</v>
      </c>
      <c r="C43" s="138"/>
      <c r="D43" s="138"/>
      <c r="E43" s="138"/>
      <c r="F43" s="139"/>
      <c r="G43" s="76">
        <f>(G37+G38-G39)*(1+'Fane 15. Nøgletal'!C14)</f>
        <v>27320925.185844991</v>
      </c>
      <c r="H43" s="14" t="s">
        <v>3</v>
      </c>
      <c r="I43" s="1"/>
    </row>
    <row r="44" spans="1:9" x14ac:dyDescent="0.25">
      <c r="A44" s="1"/>
      <c r="B44" s="143" t="s">
        <v>230</v>
      </c>
      <c r="C44" s="144"/>
      <c r="D44" s="144"/>
      <c r="E44" s="144"/>
      <c r="F44" s="145"/>
      <c r="G44" s="80">
        <f>('Fane 2.1. Økonomisk ramme 2023'!C10+'Fane 2.1. Økonomisk ramme 2023'!C12+'Fane 2.1. Økonomisk ramme 2023'!C14)*(1+'Fane 15. Nøgletal'!C15)</f>
        <v>0</v>
      </c>
      <c r="H44" s="14" t="s">
        <v>3</v>
      </c>
      <c r="I44" s="1"/>
    </row>
    <row r="45" spans="1:9" x14ac:dyDescent="0.25">
      <c r="A45" s="1"/>
      <c r="B45" s="137" t="s">
        <v>163</v>
      </c>
      <c r="C45" s="138"/>
      <c r="D45" s="138"/>
      <c r="E45" s="138"/>
      <c r="F45" s="139"/>
      <c r="G45" s="76">
        <f>SUM(G43:G44)*'Fane 15. Nøgletal'!C31</f>
        <v>546418.50371689978</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27" t="s">
        <v>241</v>
      </c>
      <c r="C51" s="128"/>
      <c r="D51" s="128"/>
      <c r="E51" s="128"/>
      <c r="F51" s="128"/>
      <c r="G51" s="136"/>
      <c r="H51" s="129"/>
      <c r="I51" s="1"/>
    </row>
    <row r="52" spans="1:9" x14ac:dyDescent="0.25">
      <c r="A52" s="1"/>
      <c r="B52" s="137" t="s">
        <v>227</v>
      </c>
      <c r="C52" s="138"/>
      <c r="D52" s="138"/>
      <c r="E52" s="138"/>
      <c r="F52" s="139"/>
      <c r="G52" s="76">
        <f>(G43+G44-G45)*(1+'Fane 15. Nøgletal'!C15)</f>
        <v>27727679.120011851</v>
      </c>
      <c r="H52" s="14" t="s">
        <v>3</v>
      </c>
      <c r="I52" s="1"/>
    </row>
    <row r="53" spans="1:9" x14ac:dyDescent="0.25">
      <c r="A53" s="1"/>
      <c r="B53" s="137" t="s">
        <v>138</v>
      </c>
      <c r="C53" s="138"/>
      <c r="D53" s="138"/>
      <c r="E53" s="138"/>
      <c r="F53" s="139"/>
      <c r="G53" s="76">
        <f>(G52)*'Fane 15. Nøgletal'!C31</f>
        <v>554553.58240023698</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27" t="s">
        <v>150</v>
      </c>
      <c r="C56" s="128"/>
      <c r="D56" s="128"/>
      <c r="E56" s="128"/>
      <c r="F56" s="128"/>
      <c r="G56" s="136"/>
      <c r="H56" s="129"/>
      <c r="I56" s="1"/>
    </row>
    <row r="57" spans="1:9" x14ac:dyDescent="0.25">
      <c r="A57" s="1"/>
      <c r="B57" s="91" t="s">
        <v>151</v>
      </c>
      <c r="C57" s="92"/>
      <c r="D57" s="92"/>
      <c r="E57" s="92"/>
      <c r="F57" s="93"/>
      <c r="G57" s="76">
        <f>(G52-G53)*(1+'Fane 15. Nøgletal'!C15)</f>
        <v>28140488.806750592</v>
      </c>
      <c r="H57" s="14" t="s">
        <v>3</v>
      </c>
      <c r="I57" s="1"/>
    </row>
    <row r="58" spans="1:9" x14ac:dyDescent="0.25">
      <c r="A58" s="1"/>
      <c r="B58" s="91" t="s">
        <v>152</v>
      </c>
      <c r="C58" s="92"/>
      <c r="D58" s="92"/>
      <c r="E58" s="92"/>
      <c r="F58" s="93"/>
      <c r="G58" s="76">
        <f>(G57)*'Fane 15. Nøgletal'!C31</f>
        <v>562809.77613501181</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27" t="s">
        <v>193</v>
      </c>
      <c r="C61" s="128"/>
      <c r="D61" s="128"/>
      <c r="E61" s="128"/>
      <c r="F61" s="128"/>
      <c r="G61" s="136"/>
      <c r="H61" s="129"/>
      <c r="I61" s="1"/>
    </row>
    <row r="62" spans="1:9" x14ac:dyDescent="0.25">
      <c r="A62" s="1"/>
      <c r="B62" s="91" t="s">
        <v>194</v>
      </c>
      <c r="C62" s="92"/>
      <c r="D62" s="92"/>
      <c r="E62" s="92"/>
      <c r="F62" s="93"/>
      <c r="G62" s="76">
        <f>(G57-G58)*(1+'Fane 15. Nøgletal'!C15)</f>
        <v>28559444.404105496</v>
      </c>
      <c r="H62" s="14" t="s">
        <v>3</v>
      </c>
      <c r="I62" s="1"/>
    </row>
    <row r="63" spans="1:9" x14ac:dyDescent="0.25">
      <c r="A63" s="1"/>
      <c r="B63" s="91" t="s">
        <v>195</v>
      </c>
      <c r="C63" s="92"/>
      <c r="D63" s="92"/>
      <c r="E63" s="92"/>
      <c r="F63" s="93"/>
      <c r="G63" s="76">
        <f>(G62)*'Fane 15. Nøgletal'!C31</f>
        <v>571188.88808210997</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k+8EhRVcrTxJrg7c1aixDuagP7H1/76mP6V7bSuMWMERUyzjMRjDPJ91pLfA2wDGvzVkwhuBBT6Osrfcmvx44g==" saltValue="X4ESMkeqDg6IEGNejmrvWw=="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4.5703125" style="2" customWidth="1"/>
    <col min="2" max="5" width="9.140625" style="2"/>
    <col min="6" max="6" width="23.28515625" style="2" customWidth="1"/>
    <col min="7" max="7" width="14.140625" style="2" customWidth="1"/>
    <col min="8" max="8" width="3.28515625" style="2" customWidth="1"/>
    <col min="9" max="9" width="4.570312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27" t="s">
        <v>56</v>
      </c>
      <c r="C4" s="128"/>
      <c r="D4" s="128"/>
      <c r="E4" s="128"/>
      <c r="F4" s="128"/>
      <c r="G4" s="128"/>
      <c r="H4" s="129"/>
      <c r="I4" s="1"/>
    </row>
    <row r="5" spans="1:9" x14ac:dyDescent="0.25">
      <c r="A5" s="1"/>
      <c r="B5" s="137" t="s">
        <v>61</v>
      </c>
      <c r="C5" s="138"/>
      <c r="D5" s="138"/>
      <c r="E5" s="138"/>
      <c r="F5" s="139"/>
      <c r="G5" s="76">
        <v>40320566</v>
      </c>
      <c r="H5" s="14" t="s">
        <v>3</v>
      </c>
      <c r="I5" s="1"/>
    </row>
    <row r="6" spans="1:9" x14ac:dyDescent="0.25">
      <c r="A6" s="1"/>
      <c r="B6" s="137" t="s">
        <v>57</v>
      </c>
      <c r="C6" s="138"/>
      <c r="D6" s="138"/>
      <c r="E6" s="138"/>
      <c r="F6" s="139"/>
      <c r="G6" s="76">
        <f>G5*'Fane 15. Nøgletal'!C20</f>
        <v>366917.15059999999</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27" t="s">
        <v>62</v>
      </c>
      <c r="C9" s="128"/>
      <c r="D9" s="128"/>
      <c r="E9" s="128"/>
      <c r="F9" s="128"/>
      <c r="G9" s="136"/>
      <c r="H9" s="129"/>
      <c r="I9" s="1"/>
    </row>
    <row r="10" spans="1:9" x14ac:dyDescent="0.25">
      <c r="A10" s="1"/>
      <c r="B10" s="137" t="s">
        <v>63</v>
      </c>
      <c r="C10" s="138"/>
      <c r="D10" s="138"/>
      <c r="E10" s="138"/>
      <c r="F10" s="139"/>
      <c r="G10" s="76">
        <f>(G5-G6)*(1+'Fane 15. Nøgletal'!C10)</f>
        <v>40652837.704264499</v>
      </c>
      <c r="H10" s="14" t="s">
        <v>3</v>
      </c>
      <c r="I10" s="1"/>
    </row>
    <row r="11" spans="1:9" x14ac:dyDescent="0.25">
      <c r="A11" s="1"/>
      <c r="B11" s="137" t="s">
        <v>122</v>
      </c>
      <c r="C11" s="138"/>
      <c r="D11" s="138"/>
      <c r="E11" s="138"/>
      <c r="F11" s="139"/>
      <c r="G11" s="76">
        <v>182483.87760194053</v>
      </c>
      <c r="H11" s="14" t="s">
        <v>3</v>
      </c>
      <c r="I11" s="1"/>
    </row>
    <row r="12" spans="1:9" x14ac:dyDescent="0.25">
      <c r="A12" s="1"/>
      <c r="B12" s="140" t="s">
        <v>64</v>
      </c>
      <c r="C12" s="141"/>
      <c r="D12" s="141"/>
      <c r="E12" s="141"/>
      <c r="F12" s="142"/>
      <c r="G12" s="77">
        <v>0</v>
      </c>
      <c r="H12" s="14" t="s">
        <v>3</v>
      </c>
      <c r="I12" s="1"/>
    </row>
    <row r="13" spans="1:9" x14ac:dyDescent="0.25">
      <c r="A13" s="1"/>
      <c r="B13" s="137" t="s">
        <v>65</v>
      </c>
      <c r="C13" s="138"/>
      <c r="D13" s="138"/>
      <c r="E13" s="138"/>
      <c r="F13" s="139"/>
      <c r="G13" s="76">
        <f>SUM(G10:G12)*'Fane 15. Nøgletal'!C21</f>
        <v>722785.19199903612</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27" t="s">
        <v>66</v>
      </c>
      <c r="C16" s="128"/>
      <c r="D16" s="128"/>
      <c r="E16" s="128"/>
      <c r="F16" s="128"/>
      <c r="G16" s="136"/>
      <c r="H16" s="129"/>
      <c r="I16" s="1"/>
    </row>
    <row r="17" spans="1:9" x14ac:dyDescent="0.25">
      <c r="A17" s="1"/>
      <c r="B17" s="137" t="s">
        <v>67</v>
      </c>
      <c r="C17" s="138"/>
      <c r="D17" s="138"/>
      <c r="E17" s="138"/>
      <c r="F17" s="139"/>
      <c r="G17" s="76">
        <f>(SUM(G10:G12)-G13)*(1+'Fane 15. Nøgletal'!C10)</f>
        <v>40814505.776690096</v>
      </c>
      <c r="H17" s="14" t="s">
        <v>3</v>
      </c>
      <c r="I17" s="1"/>
    </row>
    <row r="18" spans="1:9" x14ac:dyDescent="0.25">
      <c r="A18" s="1"/>
      <c r="B18" s="140" t="s">
        <v>68</v>
      </c>
      <c r="C18" s="141"/>
      <c r="D18" s="141"/>
      <c r="E18" s="141"/>
      <c r="F18" s="142"/>
      <c r="G18" s="76">
        <v>29853.017475089993</v>
      </c>
      <c r="H18" s="14" t="s">
        <v>3</v>
      </c>
      <c r="I18" s="1"/>
    </row>
    <row r="19" spans="1:9" x14ac:dyDescent="0.25">
      <c r="A19" s="1"/>
      <c r="B19" s="137" t="s">
        <v>69</v>
      </c>
      <c r="C19" s="138"/>
      <c r="D19" s="138"/>
      <c r="E19" s="138"/>
      <c r="F19" s="139"/>
      <c r="G19" s="76">
        <f>G17*'Fane 15. Nøgletal'!C21+G18*'Fane 15. Nøgletal'!C22</f>
        <v>722676.47349944792</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27" t="s">
        <v>70</v>
      </c>
      <c r="C22" s="128"/>
      <c r="D22" s="128"/>
      <c r="E22" s="128"/>
      <c r="F22" s="128"/>
      <c r="G22" s="136"/>
      <c r="H22" s="129"/>
      <c r="I22" s="1"/>
    </row>
    <row r="23" spans="1:9" x14ac:dyDescent="0.25">
      <c r="A23" s="1"/>
      <c r="B23" s="137" t="s">
        <v>71</v>
      </c>
      <c r="C23" s="138"/>
      <c r="D23" s="138"/>
      <c r="E23" s="138"/>
      <c r="F23" s="139"/>
      <c r="G23" s="76">
        <f>(G17+G18-G19)*(1+'Fane 15. Nøgletal'!C12)</f>
        <v>40912079.462382853</v>
      </c>
      <c r="H23" s="14" t="s">
        <v>3</v>
      </c>
      <c r="I23" s="1"/>
    </row>
    <row r="24" spans="1:9" x14ac:dyDescent="0.25">
      <c r="A24" s="1"/>
      <c r="B24" s="140" t="s">
        <v>72</v>
      </c>
      <c r="C24" s="141"/>
      <c r="D24" s="141"/>
      <c r="E24" s="141"/>
      <c r="F24" s="142"/>
      <c r="G24" s="76">
        <v>61327.741336290004</v>
      </c>
      <c r="H24" s="14" t="s">
        <v>3</v>
      </c>
      <c r="I24" s="1"/>
    </row>
    <row r="25" spans="1:9" x14ac:dyDescent="0.25">
      <c r="A25" s="1"/>
      <c r="B25" s="137" t="s">
        <v>73</v>
      </c>
      <c r="C25" s="138"/>
      <c r="D25" s="138"/>
      <c r="E25" s="138"/>
      <c r="F25" s="139"/>
      <c r="G25" s="76">
        <f>(G23+G24)*'Fane 15. Nøgletal'!C23</f>
        <v>1163644.7645856238</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27" t="s">
        <v>74</v>
      </c>
      <c r="C28" s="128"/>
      <c r="D28" s="128"/>
      <c r="E28" s="128"/>
      <c r="F28" s="128"/>
      <c r="G28" s="136"/>
      <c r="H28" s="129"/>
      <c r="I28" s="1"/>
    </row>
    <row r="29" spans="1:9" x14ac:dyDescent="0.25">
      <c r="A29" s="1"/>
      <c r="B29" s="137" t="s">
        <v>75</v>
      </c>
      <c r="C29" s="138"/>
      <c r="D29" s="138"/>
      <c r="E29" s="138"/>
      <c r="F29" s="139"/>
      <c r="G29" s="76">
        <f>(G23+G24-G25)*(1+'Fane 15. Nøgletal'!C12)</f>
        <v>40594014.759184457</v>
      </c>
      <c r="H29" s="14" t="s">
        <v>3</v>
      </c>
      <c r="I29" s="1"/>
    </row>
    <row r="30" spans="1:9" x14ac:dyDescent="0.25">
      <c r="A30" s="1"/>
      <c r="B30" s="137" t="s">
        <v>139</v>
      </c>
      <c r="C30" s="138"/>
      <c r="D30" s="138"/>
      <c r="E30" s="138"/>
      <c r="F30" s="139"/>
      <c r="G30" s="76">
        <v>10748.54188044</v>
      </c>
      <c r="H30" s="14" t="s">
        <v>3</v>
      </c>
      <c r="I30" s="1"/>
    </row>
    <row r="31" spans="1:9" x14ac:dyDescent="0.25">
      <c r="A31" s="1"/>
      <c r="B31" s="137" t="s">
        <v>76</v>
      </c>
      <c r="C31" s="138"/>
      <c r="D31" s="138"/>
      <c r="E31" s="138"/>
      <c r="F31" s="139"/>
      <c r="G31" s="76">
        <f>G29*'Fane 15. Nøgletal'!C23+G30*'Fane 15. Nøgletal'!C24</f>
        <v>1153165.6040625507</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27" t="s">
        <v>165</v>
      </c>
      <c r="C34" s="128"/>
      <c r="D34" s="128"/>
      <c r="E34" s="128"/>
      <c r="F34" s="128"/>
      <c r="G34" s="136"/>
      <c r="H34" s="129"/>
      <c r="I34" s="1"/>
    </row>
    <row r="35" spans="1:9" x14ac:dyDescent="0.25">
      <c r="A35" s="1"/>
      <c r="B35" s="137" t="s">
        <v>78</v>
      </c>
      <c r="C35" s="138"/>
      <c r="D35" s="138"/>
      <c r="E35" s="138"/>
      <c r="F35" s="139"/>
      <c r="G35" s="76">
        <f>(G29+G30-G31)*(1+'Fane 15. Nøgletal'!C14)</f>
        <v>39581787.969402462</v>
      </c>
      <c r="H35" s="14" t="s">
        <v>3</v>
      </c>
      <c r="I35" s="1"/>
    </row>
    <row r="36" spans="1:9" x14ac:dyDescent="0.25">
      <c r="A36" s="1"/>
      <c r="B36" s="137" t="s">
        <v>167</v>
      </c>
      <c r="C36" s="138"/>
      <c r="D36" s="138"/>
      <c r="E36" s="138"/>
      <c r="F36" s="139"/>
      <c r="G36" s="76">
        <v>82259.235319910018</v>
      </c>
      <c r="H36" s="14" t="s">
        <v>3</v>
      </c>
      <c r="I36" s="1"/>
    </row>
    <row r="37" spans="1:9" x14ac:dyDescent="0.25">
      <c r="A37" s="1"/>
      <c r="B37" s="137" t="s">
        <v>166</v>
      </c>
      <c r="C37" s="138"/>
      <c r="D37" s="138"/>
      <c r="E37" s="138"/>
      <c r="F37" s="139"/>
      <c r="G37" s="76">
        <f>(G35+G36)*'Fane 15. Nøgletal'!C25</f>
        <v>587027.89862989122</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27" t="s">
        <v>221</v>
      </c>
      <c r="C40" s="128"/>
      <c r="D40" s="128"/>
      <c r="E40" s="128"/>
      <c r="F40" s="128"/>
      <c r="G40" s="136"/>
      <c r="H40" s="129"/>
      <c r="I40" s="1"/>
    </row>
    <row r="41" spans="1:9" x14ac:dyDescent="0.25">
      <c r="A41" s="1"/>
      <c r="B41" s="137" t="s">
        <v>77</v>
      </c>
      <c r="C41" s="138"/>
      <c r="D41" s="138"/>
      <c r="E41" s="138"/>
      <c r="F41" s="139"/>
      <c r="G41" s="76">
        <f>(G35+G36-G37)*(1+'Fane 15. Nøgletal'!C14)</f>
        <v>39205973.469802596</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19978.994449440001</v>
      </c>
      <c r="H42" s="14" t="s">
        <v>3</v>
      </c>
      <c r="I42" s="1"/>
    </row>
    <row r="43" spans="1:9" x14ac:dyDescent="0.25">
      <c r="A43" s="1"/>
      <c r="B43" s="137" t="s">
        <v>168</v>
      </c>
      <c r="C43" s="138"/>
      <c r="D43" s="138"/>
      <c r="E43" s="138"/>
      <c r="F43" s="139"/>
      <c r="G43" s="76">
        <f>(G41)*'Fane 15. Nøgletal'!C25+G42*'Fane 15. Nøgletal'!C26</f>
        <v>580248.40735307848</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27" t="s">
        <v>242</v>
      </c>
      <c r="C52" s="128"/>
      <c r="D52" s="128"/>
      <c r="E52" s="128"/>
      <c r="F52" s="128"/>
      <c r="G52" s="136"/>
      <c r="H52" s="129"/>
      <c r="I52" s="1"/>
    </row>
    <row r="53" spans="1:9" x14ac:dyDescent="0.25">
      <c r="A53" s="1"/>
      <c r="B53" s="137" t="s">
        <v>140</v>
      </c>
      <c r="C53" s="138"/>
      <c r="D53" s="138"/>
      <c r="E53" s="138"/>
      <c r="F53" s="139"/>
      <c r="G53" s="76">
        <f>(G41+G42-G43)*(1+'Fane 15. Nøgletal'!C15)</f>
        <v>40021491.121324554</v>
      </c>
      <c r="H53" s="14" t="s">
        <v>3</v>
      </c>
      <c r="I53" s="1"/>
    </row>
    <row r="54" spans="1:9" x14ac:dyDescent="0.25">
      <c r="A54" s="1"/>
      <c r="B54" s="137" t="s">
        <v>141</v>
      </c>
      <c r="C54" s="138"/>
      <c r="D54" s="138"/>
      <c r="E54" s="138"/>
      <c r="F54" s="139"/>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27" t="s">
        <v>153</v>
      </c>
      <c r="C57" s="128"/>
      <c r="D57" s="128"/>
      <c r="E57" s="128"/>
      <c r="F57" s="128"/>
      <c r="G57" s="136"/>
      <c r="H57" s="129"/>
      <c r="I57" s="1"/>
    </row>
    <row r="58" spans="1:9" x14ac:dyDescent="0.25">
      <c r="A58" s="1"/>
      <c r="B58" s="137" t="s">
        <v>173</v>
      </c>
      <c r="C58" s="138"/>
      <c r="D58" s="138"/>
      <c r="E58" s="138"/>
      <c r="F58" s="139"/>
      <c r="G58" s="76">
        <f>(G53-G54)*(1+'Fane 15. Nøgletal'!C15)</f>
        <v>41446256.205243714</v>
      </c>
      <c r="H58" s="14" t="s">
        <v>3</v>
      </c>
      <c r="I58" s="1"/>
    </row>
    <row r="59" spans="1:9" x14ac:dyDescent="0.25">
      <c r="A59" s="1"/>
      <c r="B59" s="137" t="s">
        <v>174</v>
      </c>
      <c r="C59" s="138"/>
      <c r="D59" s="138"/>
      <c r="E59" s="138"/>
      <c r="F59" s="139"/>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27" t="s">
        <v>196</v>
      </c>
      <c r="C62" s="128"/>
      <c r="D62" s="128"/>
      <c r="E62" s="128"/>
      <c r="F62" s="128"/>
      <c r="G62" s="136"/>
      <c r="H62" s="129"/>
      <c r="I62" s="1"/>
    </row>
    <row r="63" spans="1:9" x14ac:dyDescent="0.25">
      <c r="A63" s="1"/>
      <c r="B63" s="137" t="s">
        <v>197</v>
      </c>
      <c r="C63" s="138"/>
      <c r="D63" s="138"/>
      <c r="E63" s="138"/>
      <c r="F63" s="139"/>
      <c r="G63" s="76">
        <f>(G58-G59)*(1+'Fane 15. Nøgletal'!C15)</f>
        <v>42921742.926150396</v>
      </c>
      <c r="H63" s="14" t="s">
        <v>3</v>
      </c>
      <c r="I63" s="1"/>
    </row>
    <row r="64" spans="1:9" x14ac:dyDescent="0.25">
      <c r="A64" s="1"/>
      <c r="B64" s="137" t="s">
        <v>198</v>
      </c>
      <c r="C64" s="138"/>
      <c r="D64" s="138"/>
      <c r="E64" s="138"/>
      <c r="F64" s="139"/>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OmaSoa+5bzWf2pJKdrUN8mJ1a+0pbtB8Hb/jCN5pGfEKfMswetICAjfJ8JwkUeBfrew+UYKD0iozZpYREGCNfQ==" saltValue="8zC0FgZ45wVLFDen8GBTUA=="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49" t="s">
        <v>10</v>
      </c>
      <c r="C8" s="149"/>
      <c r="D8" s="149"/>
      <c r="E8" s="149"/>
      <c r="F8" s="149"/>
      <c r="G8" s="149"/>
      <c r="H8" s="1"/>
    </row>
    <row r="9" spans="1:8" x14ac:dyDescent="0.25">
      <c r="A9" s="1"/>
      <c r="B9" s="137" t="s">
        <v>154</v>
      </c>
      <c r="C9" s="138"/>
      <c r="D9" s="138"/>
      <c r="E9" s="138"/>
      <c r="F9" s="139"/>
      <c r="G9" s="35">
        <v>2.3927605789957678E-3</v>
      </c>
      <c r="H9" s="1"/>
    </row>
    <row r="10" spans="1:8" x14ac:dyDescent="0.25">
      <c r="A10" s="1"/>
      <c r="B10" s="150"/>
      <c r="C10" s="150"/>
      <c r="D10" s="150"/>
      <c r="E10" s="150"/>
      <c r="F10" s="150"/>
      <c r="G10" s="150"/>
      <c r="H10" s="1"/>
    </row>
    <row r="11" spans="1:8" ht="29.25" customHeight="1" x14ac:dyDescent="0.25">
      <c r="A11" s="1"/>
      <c r="B11" s="148" t="s">
        <v>236</v>
      </c>
      <c r="C11" s="148"/>
      <c r="D11" s="148"/>
      <c r="E11" s="148"/>
      <c r="F11" s="148"/>
      <c r="G11" s="148"/>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PRvXzZGz5J6oWFDm1hmrO3AwATGNMe1A0E/IeWfkna3FPZbQVoyXWT3KEn7qy1VwtQ2Wq20VA02eAdIQGvNoUA==" saltValue="oinpufzNMibFdmlApzhyEg==" spinCount="100000" sheet="1" objects="1" scenarios="1"/>
  <mergeCells count="5">
    <mergeCell ref="B11:G11"/>
    <mergeCell ref="B3:G4"/>
    <mergeCell ref="B8:G8"/>
    <mergeCell ref="B9:F9"/>
    <mergeCell ref="B10:G1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2022-12-06T11:19:11Z</dcterms:modified>
</cp:coreProperties>
</file>