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Spildevand\Vandmiljø Randers AS (S075)\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1" r:id="rId12"/>
    <sheet name="Fane 9. Korrektion af ØR2021" sheetId="40" r:id="rId13"/>
    <sheet name="Fane 10. Anlægsprojekter (§19) "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calcPr calcId="162913"/>
</workbook>
</file>

<file path=xl/calcChain.xml><?xml version="1.0" encoding="utf-8"?>
<calcChain xmlns="http://schemas.openxmlformats.org/spreadsheetml/2006/main">
  <c r="C10" i="39" l="1"/>
  <c r="E10" i="39"/>
  <c r="C15" i="19" l="1"/>
  <c r="E28" i="27" l="1"/>
  <c r="E34" i="27" l="1"/>
  <c r="C21" i="23"/>
  <c r="C21" i="22"/>
  <c r="C22" i="15"/>
  <c r="C38" i="2"/>
  <c r="G18" i="41" l="1"/>
  <c r="E26" i="32" l="1"/>
  <c r="E34" i="32" s="1"/>
  <c r="E30" i="32" l="1"/>
  <c r="C36" i="2" s="1"/>
  <c r="E36" i="32"/>
  <c r="F10" i="11"/>
  <c r="C19" i="22" l="1"/>
  <c r="C20" i="15"/>
  <c r="C19" i="23"/>
  <c r="J14" i="11" l="1"/>
  <c r="H14" i="11"/>
  <c r="F13" i="11"/>
  <c r="F12" i="11"/>
  <c r="C16" i="19" l="1"/>
  <c r="C15" i="23" l="1"/>
  <c r="C15" i="22"/>
  <c r="C16" i="15"/>
  <c r="C24" i="2"/>
  <c r="G34" i="30"/>
  <c r="F11" i="11"/>
  <c r="C11" i="2"/>
  <c r="C10" i="2"/>
  <c r="C10" i="37" l="1"/>
  <c r="C15" i="37" s="1"/>
  <c r="G7" i="30" l="1"/>
  <c r="G11" i="30" s="1"/>
  <c r="E11" i="39" l="1"/>
  <c r="C11" i="39"/>
  <c r="E16" i="27" l="1"/>
  <c r="E30" i="20" l="1"/>
  <c r="E29" i="20"/>
  <c r="E17" i="20"/>
  <c r="E11" i="20"/>
  <c r="E31" i="20" l="1"/>
  <c r="C17" i="23" s="1"/>
  <c r="C29" i="2"/>
  <c r="C31" i="2" s="1"/>
  <c r="C28" i="2"/>
  <c r="C30" i="2" l="1"/>
  <c r="E16" i="40"/>
  <c r="E12" i="40"/>
  <c r="G26" i="30"/>
  <c r="G33" i="30" s="1"/>
  <c r="C32" i="2" l="1"/>
  <c r="G33" i="36" l="1"/>
  <c r="G25" i="36"/>
  <c r="G32" i="36" s="1"/>
  <c r="G7" i="36"/>
  <c r="G11" i="36" s="1"/>
  <c r="G14" i="36" s="1"/>
  <c r="G18" i="36" l="1"/>
  <c r="G20" i="36" l="1"/>
  <c r="G24" i="36"/>
  <c r="G31" i="36" l="1"/>
  <c r="G35" i="36" s="1"/>
  <c r="G27" i="36"/>
  <c r="G39" i="36" l="1"/>
  <c r="G41" i="36" l="1"/>
  <c r="G45" i="36" s="1"/>
  <c r="F14" i="11" l="1"/>
  <c r="E10" i="37" s="1"/>
  <c r="E15" i="37" s="1"/>
  <c r="G15" i="30"/>
  <c r="E24" i="20" l="1"/>
  <c r="E18" i="20"/>
  <c r="E12" i="20"/>
  <c r="E13" i="20" s="1"/>
  <c r="E19" i="20" l="1"/>
  <c r="C18" i="15" s="1"/>
  <c r="E17" i="40"/>
  <c r="C34" i="2" s="1"/>
  <c r="E23" i="20"/>
  <c r="E25" i="20" s="1"/>
  <c r="C17" i="22" s="1"/>
  <c r="C26" i="2"/>
  <c r="E12" i="21" l="1"/>
  <c r="E13" i="21" s="1"/>
  <c r="C12" i="21"/>
  <c r="C13" i="21" s="1"/>
  <c r="C15" i="2" l="1"/>
  <c r="C14" i="2"/>
  <c r="G19" i="30" l="1"/>
  <c r="G25" i="30" s="1"/>
  <c r="G21" i="30" l="1"/>
  <c r="G28" i="30"/>
  <c r="G32" i="30"/>
  <c r="G36" i="30" s="1"/>
  <c r="G40" i="30" s="1"/>
  <c r="C16" i="37" l="1"/>
  <c r="C12" i="2" s="1"/>
  <c r="E11" i="29"/>
  <c r="E12" i="29" s="1"/>
  <c r="C11" i="29"/>
  <c r="C12" i="29" s="1"/>
  <c r="C17" i="2" l="1"/>
  <c r="C16" i="2"/>
  <c r="G47" i="30" s="1"/>
  <c r="G42" i="30" l="1"/>
  <c r="E16" i="37"/>
  <c r="G46" i="30" l="1"/>
  <c r="G48" i="30" s="1"/>
  <c r="C20" i="2" s="1"/>
  <c r="C13" i="2"/>
  <c r="G46" i="36" s="1"/>
  <c r="E18" i="27"/>
  <c r="G47" i="36" l="1"/>
  <c r="G51" i="36" s="1"/>
  <c r="E19" i="27"/>
  <c r="E20" i="27" s="1"/>
  <c r="E35" i="27" s="1"/>
  <c r="C21" i="2" l="1"/>
  <c r="G52" i="36"/>
  <c r="C13" i="15" s="1"/>
  <c r="G53" i="30"/>
  <c r="C9" i="2"/>
  <c r="G54" i="30" l="1"/>
  <c r="G58" i="30" s="1"/>
  <c r="G56" i="36"/>
  <c r="C18" i="2"/>
  <c r="C19" i="2" s="1"/>
  <c r="C12" i="15" l="1"/>
  <c r="G59" i="30"/>
  <c r="G63" i="30" s="1"/>
  <c r="G64" i="30" s="1"/>
  <c r="G57" i="36"/>
  <c r="C12" i="22" s="1"/>
  <c r="C22" i="2"/>
  <c r="C39" i="2" s="1"/>
  <c r="C11" i="22" l="1"/>
  <c r="G61" i="36"/>
  <c r="G62" i="36" s="1"/>
  <c r="C11" i="23"/>
  <c r="C9" i="15"/>
  <c r="C10" i="15" s="1"/>
  <c r="C11" i="15" l="1"/>
  <c r="C14" i="15" l="1"/>
  <c r="C23" i="15" s="1"/>
  <c r="C8" i="22" l="1"/>
  <c r="C9" i="22" s="1"/>
  <c r="C10" i="22" l="1"/>
  <c r="C13" i="22" l="1"/>
  <c r="C22" i="22" s="1"/>
  <c r="C12" i="23" l="1"/>
  <c r="C8" i="23"/>
  <c r="C9" i="23" s="1"/>
  <c r="C10" i="23" l="1"/>
  <c r="C13" i="23" s="1"/>
  <c r="C22" i="23" s="1"/>
</calcChain>
</file>

<file path=xl/sharedStrings.xml><?xml version="1.0" encoding="utf-8"?>
<sst xmlns="http://schemas.openxmlformats.org/spreadsheetml/2006/main" count="653" uniqueCount="301">
  <si>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</si>
  <si>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</si>
  <si>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</si>
  <si>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</si>
  <si>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</si>
  <si>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</si>
  <si>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</si>
  <si>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</si>
  <si>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</si>
  <si>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</si>
  <si>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</si>
  <si>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</si>
  <si>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</si>
  <si>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</si>
  <si>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</si>
  <si>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</si>
  <si>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</si>
  <si>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</si>
  <si>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</si>
  <si>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</si>
  <si>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</si>
  <si>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</si>
  <si>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</si>
  <si>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</si>
  <si>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Videreførte omkostninger fra den økonomiske ramme for 2021</t>
  </si>
  <si>
    <t>Generelt effektiviseringskrav - Drift</t>
  </si>
  <si>
    <t>Generelt effektiviseringskrav - Anlæg</t>
  </si>
  <si>
    <t>Bortfald eller nedsættelse af omkostninger - Anlæg</t>
  </si>
  <si>
    <t>Bortfald eller nedsættelse af omkostninger - Drift</t>
  </si>
  <si>
    <t>Økonomisk ramme for 2022</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</si>
  <si>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</si>
  <si>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</si>
  <si>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</si>
  <si>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</si>
  <si>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</si>
  <si>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</si>
  <si>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</si>
  <si>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</si>
  <si>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</si>
  <si>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</si>
  <si>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</si>
  <si>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Prisudvikling til brug for nye omkostninger i ØR2020</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</si>
  <si>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</si>
  <si>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</si>
  <si>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</si>
  <si>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</si>
  <si>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</si>
  <si>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</si>
  <si>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</si>
  <si>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</si>
  <si>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</si>
  <si>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</si>
  <si>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driftsomkostninger i de økonomiske rammer for 2021</t>
  </si>
  <si>
    <t>Base for driftsomkostninger til de økonomiske rammer for 2021</t>
  </si>
  <si>
    <t>Generelt effektiviseringskrav til driftsomkostningerne i ØR21</t>
  </si>
  <si>
    <t>Generelt effektiviseringskrav til anlægsomkostninger i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</si>
  <si>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</si>
  <si>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</si>
  <si>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</si>
  <si>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</si>
  <si>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</si>
  <si>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</si>
  <si>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</si>
  <si>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</si>
  <si>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</si>
  <si>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</si>
  <si>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</si>
  <si>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</si>
  <si>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</si>
  <si>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</si>
  <si>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</si>
  <si>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</si>
  <si>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</si>
  <si>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</si>
  <si>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</si>
  <si>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</si>
  <si>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</si>
  <si>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</si>
  <si>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</si>
  <si>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</si>
  <si>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</si>
  <si>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</si>
  <si>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</si>
  <si>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</si>
  <si>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</si>
  <si>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</si>
  <si>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</si>
  <si>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Samlede tillæg til periodevise driftsomkostninger jf. indmeldte oprensningsplan</t>
  </si>
  <si>
    <t>Difference (Korrektion)</t>
  </si>
  <si>
    <t>Antal år i næste reguleringsperiode</t>
  </si>
  <si>
    <t>Generelt effektiviseringskrav til driftsomkostningerne</t>
  </si>
  <si>
    <t>Generelt effektiviseringskrav til anlægsomkostningerne</t>
  </si>
  <si>
    <t>Nøgletal</t>
  </si>
  <si>
    <t>Videreførte omkostninger fra den økonomiske ramme for 2022</t>
  </si>
  <si>
    <t>Fane 4.1</t>
  </si>
  <si>
    <t>Fane 4.2</t>
  </si>
  <si>
    <t>Fane 6</t>
  </si>
  <si>
    <t>Fane 6: Ikke-påvirkelige omkostninger</t>
  </si>
  <si>
    <t>Fane 4.2: Generelt effektiviseringskrav til anlægsomkostningerne</t>
  </si>
  <si>
    <t>Fane 4.1: Generelt effektiviseringskrav til driftsomkostningerne</t>
  </si>
  <si>
    <t>Prisudvikling til brug for ØR2018-2021</t>
  </si>
  <si>
    <t>Generelt effektiviseringskrav til brug for nye anlægsomkostninger i ØR2019</t>
  </si>
  <si>
    <t>Generelt effektiviseringskrav til brug for anlægsomkostninger i ØR2018-2021</t>
  </si>
  <si>
    <t>Generelt effektiviseringskrav til brug for nye anlægsomkostninger i ØR2020</t>
  </si>
  <si>
    <t>Generelt effektiviseringskrav til brug for driftsomkostninger</t>
  </si>
  <si>
    <t>Tillæg til medfinansieringsprojekter godkendt under prisloftsbekendtgørelsen</t>
  </si>
  <si>
    <t>- Heraf nye anlægsomkostninger til de økonomiske rammer for 2020</t>
  </si>
  <si>
    <t>- Heraf nye driftsomkostninger til de økonomiske rammer for 2020</t>
  </si>
  <si>
    <t>Periodevise driftsomkostninger i den økonomiske ramme for 2018</t>
  </si>
  <si>
    <t>Fane 3</t>
  </si>
  <si>
    <t>Korrektion af driftsomkostninger i grundlaget</t>
  </si>
  <si>
    <t>Korrektion af anlægsomkostninger i grundlaget</t>
  </si>
  <si>
    <t>Tilknyttet virksomhed</t>
  </si>
  <si>
    <t>Tidligere tilknyttet virksomhed - Drift</t>
  </si>
  <si>
    <t>Tidligere tilknyttet virksomhed - Anlæg</t>
  </si>
  <si>
    <t>Videreførte omkostninger fra den økonomiske ramme for 2023</t>
  </si>
  <si>
    <t>Økonomisk ramme for 2024</t>
  </si>
  <si>
    <t>Periodevise driftsomkostninger til de økonomiske rammer for 2024</t>
  </si>
  <si>
    <t>Periodevise driftsomkostninger i alt i 2024-prisniveau</t>
  </si>
  <si>
    <t>Tilknyttet virksomhed under hovedvirksomheden</t>
  </si>
  <si>
    <t>Beskrivelse af tilknyttet virksomhed</t>
  </si>
  <si>
    <t>Prisudvikling til brug for nye omkostninger i ØR2021</t>
  </si>
  <si>
    <t>Generelt effektiviseringskrav til brug for nye anlægsomkostninger i ØR2021</t>
  </si>
  <si>
    <t>Nye driftsomkostninger til de økonomiske rammer for 2021</t>
  </si>
  <si>
    <t>Generelt effektiviseringskrav til driftsomkostninger i de vejledende økonomiske rammer for 2024</t>
  </si>
  <si>
    <t>Base for driftsomkostninger til de vejledende økonomiske rammer for 2024</t>
  </si>
  <si>
    <t>Vejledende generelt effektiviseringskrav til driftsomkostningerne i ØR24</t>
  </si>
  <si>
    <t>Nye anlægsomkostninger til de økonomiske rammer for 2021</t>
  </si>
  <si>
    <t>Generelt effektiviseringskrav til anlægsomkostninger i de vejledende økonomiske rammer for 2024</t>
  </si>
  <si>
    <t>Base for anlægsomkostninger til de vejledende økonomiske rammer for 2024</t>
  </si>
  <si>
    <t>Vejledende generelt effektiviseringskrav til anlægsomkostningerne i ØR24</t>
  </si>
  <si>
    <t>Kontrol med overholdelse af økonomiske rammer</t>
  </si>
  <si>
    <t>Kontrol med overholdelse af økonomiske ramme</t>
  </si>
  <si>
    <t>Kontrol med de økonomiske rammer til indregning</t>
  </si>
  <si>
    <t>Samlet økonomisk ramme for 2023</t>
  </si>
  <si>
    <t>Vejledende økonomisk ramme for 2025</t>
  </si>
  <si>
    <t>Korrektion af den økonomiske ramme for 2020</t>
  </si>
  <si>
    <t>Videreførte omkostninger fra den økonomiske ramme for 2024</t>
  </si>
  <si>
    <t>Økonomisk ramme for 2025</t>
  </si>
  <si>
    <t>Generelt effektiviseringskrav til driftsomkostninger i de økonomiske rammer for 2022</t>
  </si>
  <si>
    <t>Generelt effektiviseringskrav til anlægsomkostninger i de økonomiske rammer for 2022</t>
  </si>
  <si>
    <t>Nye anlægsomkostninger til de økonomiske rammer for 2022</t>
  </si>
  <si>
    <t>Generelt effektiviseringskrav til anlægsomkostningerne i ØR22</t>
  </si>
  <si>
    <t>Individuelt effektiviseringskrav til de økonomiske rammer for 2022-2023</t>
  </si>
  <si>
    <t>Nye tillæg i alt i 2021-prisniveau</t>
  </si>
  <si>
    <t>Engangstillæg i alt i 2023-prisniveau</t>
  </si>
  <si>
    <t>Periodevise driftsomkostninger til de økonomiske rammer for 2025</t>
  </si>
  <si>
    <t>Periodevise driftsomkostninger i alt i 2025-prisniveau</t>
  </si>
  <si>
    <t>Tilknyttet virksomhed under hovedvirksomheden i alt (2021-prisniveau)</t>
  </si>
  <si>
    <t>Generelt effektiviseringskrav til brug for nye anlægsomkostninger i ØR2022</t>
  </si>
  <si>
    <t>Generelt effektiviseringskrav til anlægsomkostninger i de økonomiske rammer for 2020</t>
  </si>
  <si>
    <t>Generelt effektiviseringskrav til driftsomkostninger i de økonomiske rammer for 2023</t>
  </si>
  <si>
    <t>Generelt effektiviseringskrav til driftsomkostninger i de vejledende økonomiske rammer for 2025</t>
  </si>
  <si>
    <t>Generelt effektiviseringskrav til anlægsomkostninger i de vejledende økonomiske rammer for 2025</t>
  </si>
  <si>
    <t>Generelt effektiviseringskrav til driftsomkostninger i de økonomiske rammer for 2017</t>
  </si>
  <si>
    <t>Driftsomkostninger i grundlaget til de økonomiske rammer for 2017</t>
  </si>
  <si>
    <t>Periodevise driftsomkostninger i den økonomiske ramme for 2017</t>
  </si>
  <si>
    <t>Generelt effektiviseringskrav til driftsomkostningerne i ØR17</t>
  </si>
  <si>
    <t>Base for driftsomkostninger til de økonomiske rammer for 2018</t>
  </si>
  <si>
    <t>Nye driftsomkostninger til de økonomiske rammer for 2018</t>
  </si>
  <si>
    <t>- Heraf nye driftsomkostninger til de økonomiske rammer for 2019</t>
  </si>
  <si>
    <t>Base for driftsomkostninger til de vejledende økonomiske rammer for 2025</t>
  </si>
  <si>
    <t>Vejledende generelt effektiviseringskrav til driftsomkostningerne i ØR25</t>
  </si>
  <si>
    <t>Generelt effektiviseringskrav til anlægsomkostningerne i ØR17</t>
  </si>
  <si>
    <t>Generelt effektiviseringskrav til driftsomkostningerne i ØR22</t>
  </si>
  <si>
    <t>Nye driftsomkostninger til de økonomiske rammer for 2022</t>
  </si>
  <si>
    <t>Base for driftsomkostninger til de økonomiske rammer for 2022</t>
  </si>
  <si>
    <t>Generelt effektiviseringskrav til anlægsomkostninger i de økonomiske rammer for 2017</t>
  </si>
  <si>
    <t>Anlægssomkostninger i grundlaget til de økonomiske rammer for 2017</t>
  </si>
  <si>
    <t>Base for anlægsomkostninger til de økonomiske rammer for 2018</t>
  </si>
  <si>
    <t>Nye anlægsomkostninger til de økonomiske rammer for 2018</t>
  </si>
  <si>
    <t>-Heraf nye anlægsomkostninger til de økonomiske rammer for 2019</t>
  </si>
  <si>
    <t>- Heraf nye anlægsomkostninger til de økonomiske rammer for 2019</t>
  </si>
  <si>
    <t>Base for anlægsomkostninger til de vejledende økonomiske rammer for 2022</t>
  </si>
  <si>
    <t>Vejledende generelt effektiviseringskrav til anlægsomkostningerne i ØR25</t>
  </si>
  <si>
    <t>Base for driftsomkostninger til de økonomiske rammer for 2023</t>
  </si>
  <si>
    <t>Generelt effektiviseringskrav til driftsomkostningerne i ØR23</t>
  </si>
  <si>
    <t>Generelt effektiviseringskrav til anlægsomkostningerne i ØR23</t>
  </si>
  <si>
    <t xml:space="preserve">Indtægter fra tilbagebetalt skat eller sambeskatningsbidrag som følge af skattesagen </t>
  </si>
  <si>
    <t xml:space="preserve">Nedsættelse af økonomisk ramme som følge af skattesagen </t>
  </si>
  <si>
    <t>Prisudvikling til brug for ØR2017</t>
  </si>
  <si>
    <t>Generelt effektiviseringskrav til brug for anlægsomkostninger i ØR2017</t>
  </si>
  <si>
    <t>Ingen bortfald eller nedsættelse</t>
  </si>
  <si>
    <t>Tidligere opgjorte over/underdækninger</t>
  </si>
  <si>
    <t>Over/underdækning i 2018</t>
  </si>
  <si>
    <t>Over/underdækning i 2019</t>
  </si>
  <si>
    <t>Allerede indregnet fradrag i jeres økonomiske rammer</t>
  </si>
  <si>
    <t>Indregnet fradrag i økonomisk ramme for 2023</t>
  </si>
  <si>
    <t>Prisudvikling til brug for ØR2022-2023</t>
  </si>
  <si>
    <t>Kontrol med overholdelse af den økonomiske ramme</t>
  </si>
  <si>
    <t>Vejledende økonomisk ramme for 2026</t>
  </si>
  <si>
    <t>Omkostninger i ØR2022</t>
  </si>
  <si>
    <t>Kontrol af den økonomiske ramme for 2021</t>
  </si>
  <si>
    <t>Korrektion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</si>
  <si>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</si>
  <si>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</si>
  <si>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</si>
  <si>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</si>
  <si>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</si>
  <si>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</si>
  <si>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</si>
  <si>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</si>
  <si>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statusmeddelelse for den økonomiske ramme for 2022. I kan derfor ikke komme med høringssvar til denne opgørelse. </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</si>
  <si>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</si>
  <si>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</si>
  <si>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</si>
  <si>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</si>
  <si>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2025</t>
  </si>
  <si>
    <t>Vejledende generelt effektiviseringskrav til anlægsomkostningerne i ØR26</t>
  </si>
  <si>
    <t>Faktiske ikke-påvirkelige omkostninger i 2021</t>
  </si>
  <si>
    <t>Ikke-påvirkelige omkostninger i 2021-prisniveau</t>
  </si>
  <si>
    <t>Ikke-påvirkelige omkostninger i 2023-prisniveau</t>
  </si>
  <si>
    <t>Fane 7: Kontrol med overholdelse af den økonomiske ramme for 2021</t>
  </si>
  <si>
    <t>Over/underdækning i 2020</t>
  </si>
  <si>
    <t>Kontrol med overholdelse af den økonomiske ramme for 2021</t>
  </si>
  <si>
    <t>Indtægtsramme i den økonomiske ramme for 2021</t>
  </si>
  <si>
    <t>Faktiske indtægter i 2021</t>
  </si>
  <si>
    <t>Resultat af kontrol med overholdelse af den økonomiske ramme for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</si>
  <si>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</si>
  <si>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</si>
  <si>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</si>
  <si>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</si>
  <si>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</si>
  <si>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</si>
  <si>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</si>
  <si>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</si>
  <si>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Tilknyttet virksomhed under hovedvirksomheden i alt (2022-prisniveau)</t>
  </si>
  <si>
    <t>Prisudvikling til brug for ØR2023-2024</t>
  </si>
  <si>
    <t>Generelt effektiviseringskrav til brug for nye anlægsomkostninger i ØR2023</t>
  </si>
  <si>
    <t>Anlægsprojekter igangsat senest den 1. marts 2016</t>
  </si>
  <si>
    <t>Anlægsprojekter igangsat senest den 1. marts 2016 i alt</t>
  </si>
  <si>
    <t>Til statusmeddelelse for 2023</t>
  </si>
  <si>
    <t>Engangstillæg i alt i 2021-prisniveau</t>
  </si>
  <si>
    <t>Bortfald eller nedsættelse i alt i 2021-prisniveau</t>
  </si>
  <si>
    <t>Vejledende økonomisk ramme for 2024</t>
  </si>
  <si>
    <t>- Heraf nye omkostninger i 2022 - Drift</t>
  </si>
  <si>
    <t>- Heraf nye omkostninger i 2022 - Anlæg</t>
  </si>
  <si>
    <t>Nye driftsomkostninger til de økonomiske rammer for 2023</t>
  </si>
  <si>
    <t>Generelt effektiviseringskrav til anlægsomkostninger i de økonomiske rammer for 2023</t>
  </si>
  <si>
    <t>Periodevise driftsomkostninger i alt i 2021-prisniveau</t>
  </si>
  <si>
    <t xml:space="preserve">Note: Denne opgørelse er taget fra jeres afgørelse for den økonomiske ramme for 2022. I kan derfor ikke komme med høringssvar til denne opgørelse. </t>
  </si>
  <si>
    <t>Anlægsprojekter igangsat senest 1. marts 2016</t>
  </si>
  <si>
    <t>Nye varige anlægsomkostninger i de økonomiske rammer for 2023</t>
  </si>
  <si>
    <t>Effektiviseringskrav (generelt og individuelt) –  Drift</t>
  </si>
  <si>
    <t>Effektiviseringskrav (generelt og individuelt) –  Anlæg</t>
  </si>
  <si>
    <t xml:space="preserve">Anlægsprojekter (§ 19) </t>
  </si>
  <si>
    <t>Omkostninger i 2021</t>
  </si>
  <si>
    <t>Anskaffelses-pris</t>
  </si>
  <si>
    <t xml:space="preserve">kr. </t>
  </si>
  <si>
    <t>Drifts-omkostninger</t>
  </si>
  <si>
    <t>Skattesagen</t>
  </si>
  <si>
    <t>Fane 8: Indtægter til tilbagebetaling som følge af skattesagen</t>
  </si>
  <si>
    <t>Tilbagebetaling af indtægter som følge af skattesagen (jf. § 18 stk. 6)</t>
  </si>
  <si>
    <t>Fradrag i de økonomiske ramme i årene</t>
  </si>
  <si>
    <t>Samlet tilbagebetaling</t>
  </si>
  <si>
    <t>Fane 9: Korrektioner af den økonomiske ramme for 2021</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</si>
  <si>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</si>
  <si>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</si>
  <si>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</si>
  <si>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</si>
  <si>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</si>
  <si>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</si>
  <si>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</si>
  <si>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Fane 10</t>
  </si>
  <si>
    <t>Fane 11.1</t>
  </si>
  <si>
    <t>Fane 11.2</t>
  </si>
  <si>
    <t>Fane 15</t>
  </si>
  <si>
    <t>Tillæg til den økonomiske ramme for 2023</t>
  </si>
  <si>
    <t>Tillæg til den økonomiske ramme for 2024</t>
  </si>
  <si>
    <t>Tillæg til den økonomiske ramme for 2025</t>
  </si>
  <si>
    <t>Tillæg til den økonomiske ramme for 2026</t>
  </si>
  <si>
    <t>Korrigeret over/underdækning i 2018-2020</t>
  </si>
  <si>
    <t>Indregnet fradrag i økonomisk ramme for 2022</t>
  </si>
  <si>
    <t>Korrektion af fradrag i den økonomiske ramme for 2023</t>
  </si>
  <si>
    <t>Tillæg/fradrag i den økonomiske ramme for 2023</t>
  </si>
  <si>
    <t>Til indregning i de økonomiske rammer for 2024-2027</t>
  </si>
  <si>
    <t>Spildevandsafgift</t>
  </si>
  <si>
    <t>Afgift til Forsyningssekretariatet</t>
  </si>
  <si>
    <t>Ejendomsskatter</t>
  </si>
  <si>
    <t>Tjenestemandspensioner</t>
  </si>
  <si>
    <t>Erstatninger</t>
  </si>
  <si>
    <t>Gasdisponering - elproduktionsanlæg, Mek/EL</t>
  </si>
  <si>
    <t>Gasdisponering - elproduktionsanlæg, SRO</t>
  </si>
  <si>
    <t>Gasdisponering, Mek/EL</t>
  </si>
  <si>
    <t>Gasdisponering, SRO</t>
  </si>
  <si>
    <t>Oprensning af regnvandsbassin</t>
  </si>
  <si>
    <t>Oprensnings af regnvandsbassin</t>
  </si>
  <si>
    <t>Ingen tilknyttet virksomhed under hovedvirksomheden</t>
  </si>
  <si>
    <t>Flytning af ledning</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</si>
  <si>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</si>
  <si>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</si>
  <si>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</si>
  <si>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</si>
  <si>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</si>
  <si>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</si>
  <si>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</si>
  <si>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</si>
  <si>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Udvidelse af forsyningsområdet</t>
  </si>
  <si>
    <t>Kloaksepareringer</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</si>
  <si>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2018-2020 lægger sammen over/underdækningen for de tre år samt tager højde for evt. modregninger af over/underdækninger fra tideligere år.</t>
  </si>
  <si>
    <t xml:space="preserve">Note: Opgørelsen af over/underdækningen er taget fra jeres tidligere fremsendte økonomiske rammer og statusmeddelelser. I kan derfor ikke komme med høringssvar til denne opgørelse.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</si>
</sst>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00_ ;_ * \-#,##0.00_ ;_ * &quot;-&quot;??_ ;_ @_ "/>
    <numFmt numFmtId="165" formatCode="_ * #,##0_ ;_ * \-#,##0_ ;_ * &quot;-&quot;??_ ;_ @_ "/>
    <numFmt numFmtId="166" formatCode="##,##0"/>
  </numFmts>
  <fonts count="18"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4"/>
      <color theme="1"/>
      <name val="Calibri"/>
      <family val="2"/>
      <scheme val="minor"/>
    </font>
    <font>
      <sz val="10"/>
      <name val="Times New Roman"/>
      <family val="1"/>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80">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0" fillId="2" borderId="0" xfId="0" applyFill="1" applyAlignment="1" applyProtection="1">
      <alignment wrapText="1"/>
    </xf>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14" fillId="2" borderId="0" xfId="0" applyFont="1" applyFill="1" applyAlignment="1" applyProtection="1">
      <alignment horizontal="center"/>
    </xf>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7" fillId="2" borderId="0" xfId="0" applyFont="1" applyFill="1" applyBorder="1" applyAlignment="1" applyProtection="1"/>
    <xf numFmtId="0" fontId="7" fillId="3" borderId="2" xfId="0" applyFont="1" applyFill="1" applyBorder="1" applyAlignment="1" applyProtection="1"/>
    <xf numFmtId="0" fontId="7" fillId="3" borderId="6" xfId="0" applyFont="1" applyFill="1" applyBorder="1" applyAlignment="1" applyProtection="1"/>
    <xf numFmtId="0" fontId="7" fillId="3" borderId="1" xfId="0" applyFont="1" applyFill="1" applyBorder="1" applyAlignment="1" applyProtection="1"/>
    <xf numFmtId="0" fontId="8" fillId="4" borderId="2" xfId="0" applyFont="1" applyFill="1" applyBorder="1" applyAlignment="1" applyProtection="1"/>
    <xf numFmtId="0" fontId="8" fillId="4" borderId="6" xfId="0" applyFont="1" applyFill="1" applyBorder="1" applyAlignment="1" applyProtection="1"/>
    <xf numFmtId="0" fontId="8" fillId="4" borderId="3" xfId="0" applyFont="1" applyFill="1" applyBorder="1" applyAlignment="1" applyProtection="1"/>
    <xf numFmtId="1" fontId="8" fillId="0" borderId="1" xfId="0" applyNumberFormat="1" applyFont="1" applyFill="1" applyBorder="1" applyProtection="1"/>
    <xf numFmtId="49" fontId="8" fillId="8" borderId="2" xfId="0" applyNumberFormat="1" applyFont="1" applyFill="1" applyBorder="1" applyAlignment="1" applyProtection="1">
      <alignment horizontal="left"/>
    </xf>
    <xf numFmtId="3" fontId="15" fillId="8" borderId="1" xfId="0" applyNumberFormat="1" applyFont="1" applyFill="1" applyBorder="1" applyProtection="1"/>
    <xf numFmtId="0" fontId="8" fillId="8" borderId="4" xfId="0" applyFont="1" applyFill="1" applyBorder="1" applyAlignment="1" applyProtection="1">
      <alignment horizontal="left" wrapText="1"/>
    </xf>
    <xf numFmtId="3" fontId="0" fillId="2" borderId="0" xfId="0" applyNumberFormat="1" applyFill="1" applyProtection="1"/>
    <xf numFmtId="0" fontId="0" fillId="0" borderId="0" xfId="0" applyFill="1" applyProtection="1"/>
    <xf numFmtId="3" fontId="8" fillId="0" borderId="1" xfId="0" applyNumberFormat="1" applyFont="1" applyFill="1" applyBorder="1" applyProtection="1"/>
    <xf numFmtId="0" fontId="16" fillId="4" borderId="1" xfId="0" applyFont="1" applyFill="1" applyBorder="1" applyAlignment="1" applyProtection="1">
      <alignment wrapText="1"/>
    </xf>
    <xf numFmtId="0" fontId="17" fillId="3" borderId="2" xfId="0" applyFont="1" applyFill="1" applyBorder="1" applyAlignment="1" applyProtection="1"/>
    <xf numFmtId="0" fontId="17" fillId="3" borderId="1" xfId="0" applyFont="1" applyFill="1" applyBorder="1" applyProtection="1"/>
    <xf numFmtId="0" fontId="17" fillId="3" borderId="6" xfId="0" applyFont="1" applyFill="1" applyBorder="1" applyAlignment="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3" fontId="8" fillId="4" borderId="3" xfId="0" applyNumberFormat="1" applyFont="1" applyFill="1" applyBorder="1" applyAlignment="1" applyProtection="1">
      <alignment horizontal="right"/>
    </xf>
    <xf numFmtId="166" fontId="8" fillId="8" borderId="1" xfId="0" applyNumberFormat="1" applyFont="1" applyFill="1" applyBorder="1" applyAlignment="1" applyProtection="1">
      <alignment wrapText="1"/>
    </xf>
    <xf numFmtId="166" fontId="8" fillId="8" borderId="1" xfId="0" applyNumberFormat="1" applyFont="1" applyFill="1" applyBorder="1" applyProtection="1"/>
    <xf numFmtId="166" fontId="16" fillId="4" borderId="1" xfId="0" applyNumberFormat="1" applyFont="1" applyFill="1" applyBorder="1" applyProtection="1"/>
    <xf numFmtId="166" fontId="7" fillId="3" borderId="6" xfId="0" applyNumberFormat="1" applyFont="1" applyFill="1" applyBorder="1" applyAlignment="1" applyProtection="1"/>
    <xf numFmtId="166" fontId="8" fillId="4" borderId="1" xfId="0" applyNumberFormat="1" applyFont="1" applyFill="1" applyBorder="1" applyProtection="1"/>
    <xf numFmtId="166" fontId="8" fillId="0" borderId="1" xfId="0" applyNumberFormat="1" applyFont="1" applyFill="1" applyBorder="1" applyAlignment="1" applyProtection="1">
      <alignment wrapText="1"/>
    </xf>
    <xf numFmtId="166" fontId="17" fillId="3" borderId="1" xfId="0" applyNumberFormat="1" applyFont="1" applyFill="1" applyBorder="1" applyProtection="1"/>
    <xf numFmtId="166" fontId="8" fillId="8" borderId="1" xfId="1" applyNumberFormat="1" applyFont="1" applyFill="1" applyBorder="1" applyProtection="1"/>
    <xf numFmtId="166" fontId="7" fillId="3" borderId="6" xfId="1" applyNumberFormat="1" applyFont="1" applyFill="1" applyBorder="1" applyAlignment="1" applyProtection="1"/>
    <xf numFmtId="166" fontId="0" fillId="2" borderId="0" xfId="1" applyNumberFormat="1" applyFont="1" applyFill="1" applyProtection="1"/>
    <xf numFmtId="166" fontId="8" fillId="0" borderId="1" xfId="1" applyNumberFormat="1" applyFont="1" applyFill="1" applyBorder="1" applyProtection="1"/>
    <xf numFmtId="166" fontId="7" fillId="2" borderId="0" xfId="1" applyNumberFormat="1" applyFont="1" applyFill="1" applyBorder="1" applyAlignment="1" applyProtection="1"/>
    <xf numFmtId="166" fontId="7" fillId="3" borderId="6" xfId="1" applyNumberFormat="1" applyFont="1" applyFill="1" applyBorder="1" applyAlignment="1" applyProtection="1">
      <alignment horizontal="left"/>
    </xf>
    <xf numFmtId="166" fontId="0" fillId="2" borderId="0" xfId="0" applyNumberFormat="1" applyFill="1" applyProtection="1"/>
    <xf numFmtId="10" fontId="0" fillId="0" borderId="7" xfId="4" applyNumberFormat="1" applyFont="1" applyBorder="1" applyProtection="1"/>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8" borderId="2" xfId="0" quotePrefix="1" applyFont="1" applyFill="1" applyBorder="1" applyAlignment="1" applyProtection="1">
      <alignmen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2" xfId="0" applyFont="1" applyFill="1" applyBorder="1" applyAlignment="1" applyProtection="1"/>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1" fillId="9" borderId="4" xfId="2" applyFont="1" applyFill="1" applyBorder="1" applyAlignment="1" applyProtection="1">
      <alignment horizontal="center"/>
    </xf>
    <xf numFmtId="0" fontId="1" fillId="9" borderId="0" xfId="2" applyFont="1" applyFill="1" applyBorder="1" applyAlignment="1" applyProtection="1">
      <alignment horizontal="center"/>
    </xf>
    <xf numFmtId="0" fontId="1" fillId="9" borderId="5"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2" fillId="2" borderId="0" xfId="0" applyFont="1" applyFill="1" applyAlignment="1" applyProtection="1">
      <alignment horizontal="center" vertical="center"/>
    </xf>
    <xf numFmtId="0" fontId="7" fillId="3" borderId="2" xfId="0" applyFont="1" applyFill="1" applyBorder="1" applyAlignment="1" applyProtection="1">
      <alignment horizontal="left" wrapText="1"/>
    </xf>
    <xf numFmtId="0" fontId="7" fillId="3" borderId="6" xfId="0" applyFont="1" applyFill="1" applyBorder="1" applyAlignment="1" applyProtection="1">
      <alignment horizontal="left" wrapText="1"/>
    </xf>
    <xf numFmtId="0" fontId="7" fillId="3" borderId="3" xfId="0" applyFont="1" applyFill="1" applyBorder="1" applyAlignment="1" applyProtection="1">
      <alignment horizontal="left" wrapText="1"/>
    </xf>
    <xf numFmtId="0" fontId="13" fillId="2" borderId="0" xfId="0" applyFont="1" applyFill="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8" borderId="2" xfId="0" quotePrefix="1" applyFont="1" applyFill="1" applyBorder="1" applyAlignment="1" applyProtection="1">
      <alignment wrapText="1"/>
    </xf>
    <xf numFmtId="0" fontId="8" fillId="8" borderId="6" xfId="0" quotePrefix="1" applyFont="1" applyFill="1" applyBorder="1" applyAlignment="1" applyProtection="1">
      <alignment wrapText="1"/>
    </xf>
    <xf numFmtId="0" fontId="8" fillId="8" borderId="3" xfId="0" quotePrefix="1" applyFont="1" applyFill="1" applyBorder="1" applyAlignment="1" applyProtection="1">
      <alignment wrapText="1"/>
    </xf>
    <xf numFmtId="0" fontId="16" fillId="4" borderId="2" xfId="0" applyFont="1" applyFill="1" applyBorder="1" applyAlignment="1" applyProtection="1"/>
    <xf numFmtId="0" fontId="16" fillId="4" borderId="6" xfId="0" applyFont="1" applyFill="1" applyBorder="1" applyAlignment="1" applyProtection="1"/>
    <xf numFmtId="0" fontId="16" fillId="4" borderId="3" xfId="0" applyFont="1" applyFill="1" applyBorder="1" applyAlignment="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6" xfId="0" applyFont="1" applyFill="1" applyBorder="1" applyAlignment="1" applyProtection="1">
      <alignment wrapText="1"/>
    </xf>
    <xf numFmtId="0" fontId="8" fillId="8" borderId="3" xfId="0" applyFont="1" applyFill="1" applyBorder="1" applyAlignment="1" applyProtection="1">
      <alignment wrapText="1"/>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166" fontId="7" fillId="3" borderId="6" xfId="0" applyNumberFormat="1"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2" fillId="2" borderId="0" xfId="0" applyFont="1" applyFill="1" applyAlignment="1" applyProtection="1">
      <alignment horizontal="center" wrapText="1"/>
    </xf>
    <xf numFmtId="0" fontId="8" fillId="8" borderId="8" xfId="0" applyFont="1" applyFill="1" applyBorder="1" applyAlignment="1" applyProtection="1">
      <alignment horizontal="center" vertical="top" wrapText="1"/>
    </xf>
    <xf numFmtId="0" fontId="8" fillId="8" borderId="9" xfId="0" applyFont="1" applyFill="1" applyBorder="1" applyAlignment="1" applyProtection="1">
      <alignment horizontal="center" vertical="top" wrapText="1"/>
    </xf>
    <xf numFmtId="0" fontId="8" fillId="8" borderId="10" xfId="0" applyFont="1" applyFill="1" applyBorder="1" applyAlignment="1" applyProtection="1">
      <alignment horizontal="center" vertical="top" wrapText="1"/>
    </xf>
    <xf numFmtId="0" fontId="8" fillId="8" borderId="11" xfId="0" applyFont="1" applyFill="1" applyBorder="1" applyAlignment="1" applyProtection="1">
      <alignment horizontal="center" vertical="top" wrapText="1"/>
    </xf>
    <xf numFmtId="0" fontId="8" fillId="8" borderId="12" xfId="0" applyFont="1" applyFill="1" applyBorder="1" applyAlignment="1" applyProtection="1">
      <alignment horizontal="center" vertical="top" wrapText="1"/>
    </xf>
    <xf numFmtId="0" fontId="8" fillId="8" borderId="13" xfId="0" applyFont="1" applyFill="1" applyBorder="1" applyAlignment="1" applyProtection="1">
      <alignment horizontal="center" vertical="top"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7" fillId="3" borderId="1" xfId="0" applyFont="1" applyFill="1" applyBorder="1" applyAlignment="1" applyProtection="1">
      <alignment horizontal="left"/>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0"/>
  <sheetViews>
    <sheetView showGridLines="0" tabSelected="1" view="pageLayout" zoomScaleNormal="100" workbookViewId="0"/>
  </sheetViews>
  <sheetFormatPr defaultColWidth="9" defaultRowHeight="15" x14ac:dyDescent="0.25"/>
  <cols>
    <col min="1" max="1" width="9" style="2"/>
    <col min="2" max="2" width="5.85546875" style="2" customWidth="1"/>
    <col min="3" max="4" width="9" style="2"/>
    <col min="5" max="5" width="11.7109375" style="2" customWidth="1"/>
    <col min="6" max="6" width="11.5703125" style="2" customWidth="1"/>
    <col min="7" max="8" width="9" style="2"/>
    <col min="9" max="9" width="12" style="2" customWidth="1"/>
    <col min="10" max="16384" width="9"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08" t="s">
        <v>4</v>
      </c>
      <c r="E6" s="108"/>
      <c r="F6" s="108"/>
      <c r="G6" s="108"/>
      <c r="H6" s="3"/>
      <c r="I6" s="1"/>
    </row>
    <row r="7" spans="1:9" ht="15" customHeight="1" x14ac:dyDescent="0.25">
      <c r="A7" s="1"/>
      <c r="B7" s="1"/>
      <c r="C7" s="3"/>
      <c r="D7" s="108"/>
      <c r="E7" s="108"/>
      <c r="F7" s="108"/>
      <c r="G7" s="108"/>
      <c r="H7" s="3"/>
      <c r="I7" s="1"/>
    </row>
    <row r="8" spans="1:9" ht="15.75" x14ac:dyDescent="0.25">
      <c r="A8" s="1"/>
      <c r="B8" s="1"/>
      <c r="C8" s="4"/>
      <c r="D8" s="110" t="s">
        <v>231</v>
      </c>
      <c r="E8" s="110"/>
      <c r="F8" s="110"/>
      <c r="G8" s="110"/>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9" t="s">
        <v>5</v>
      </c>
      <c r="E11" s="109"/>
      <c r="F11" s="109"/>
      <c r="G11" s="109"/>
      <c r="H11" s="5"/>
      <c r="I11" s="1"/>
    </row>
    <row r="12" spans="1:9" x14ac:dyDescent="0.25">
      <c r="A12" s="1"/>
      <c r="B12" s="1"/>
      <c r="C12" s="1"/>
      <c r="D12" s="1"/>
      <c r="E12" s="1"/>
      <c r="F12" s="1"/>
      <c r="G12" s="1"/>
      <c r="H12" s="1"/>
      <c r="I12" s="1"/>
    </row>
    <row r="13" spans="1:9" x14ac:dyDescent="0.25">
      <c r="A13" s="1"/>
      <c r="B13" s="1"/>
      <c r="C13" s="6" t="s">
        <v>6</v>
      </c>
      <c r="D13" s="111" t="s">
        <v>134</v>
      </c>
      <c r="E13" s="112"/>
      <c r="F13" s="112"/>
      <c r="G13" s="113"/>
      <c r="H13" s="1"/>
      <c r="I13" s="1"/>
    </row>
    <row r="14" spans="1:9" x14ac:dyDescent="0.25">
      <c r="A14" s="1"/>
      <c r="B14" s="1"/>
      <c r="C14" s="6" t="s">
        <v>16</v>
      </c>
      <c r="D14" s="111" t="s">
        <v>234</v>
      </c>
      <c r="E14" s="112"/>
      <c r="F14" s="112"/>
      <c r="G14" s="113"/>
      <c r="H14" s="1"/>
      <c r="I14" s="1"/>
    </row>
    <row r="15" spans="1:9" x14ac:dyDescent="0.25">
      <c r="A15" s="1"/>
      <c r="B15" s="1"/>
      <c r="C15" s="6" t="s">
        <v>34</v>
      </c>
      <c r="D15" s="111" t="s">
        <v>135</v>
      </c>
      <c r="E15" s="112"/>
      <c r="F15" s="112"/>
      <c r="G15" s="113"/>
      <c r="H15" s="1"/>
      <c r="I15" s="1"/>
    </row>
    <row r="16" spans="1:9" x14ac:dyDescent="0.25">
      <c r="A16" s="1"/>
      <c r="B16" s="1"/>
      <c r="C16" s="6" t="s">
        <v>35</v>
      </c>
      <c r="D16" s="111" t="s">
        <v>190</v>
      </c>
      <c r="E16" s="112"/>
      <c r="F16" s="112"/>
      <c r="G16" s="113"/>
      <c r="H16" s="1"/>
      <c r="I16" s="1"/>
    </row>
    <row r="17" spans="1:9" x14ac:dyDescent="0.25">
      <c r="A17" s="1"/>
      <c r="B17" s="1"/>
      <c r="C17" s="6" t="s">
        <v>109</v>
      </c>
      <c r="D17" s="111" t="s">
        <v>191</v>
      </c>
      <c r="E17" s="112"/>
      <c r="F17" s="112"/>
      <c r="G17" s="113"/>
      <c r="H17" s="1"/>
      <c r="I17" s="1"/>
    </row>
    <row r="18" spans="1:9" x14ac:dyDescent="0.25">
      <c r="A18" s="1"/>
      <c r="B18" s="1"/>
      <c r="C18" s="6" t="s">
        <v>94</v>
      </c>
      <c r="D18" s="114" t="s">
        <v>83</v>
      </c>
      <c r="E18" s="115"/>
      <c r="F18" s="115"/>
      <c r="G18" s="116"/>
      <c r="H18" s="1"/>
      <c r="I18" s="1"/>
    </row>
    <row r="19" spans="1:9" x14ac:dyDescent="0.25">
      <c r="A19" s="1"/>
      <c r="B19" s="1"/>
      <c r="C19" s="6" t="s">
        <v>95</v>
      </c>
      <c r="D19" s="114" t="s">
        <v>84</v>
      </c>
      <c r="E19" s="115"/>
      <c r="F19" s="115"/>
      <c r="G19" s="116"/>
      <c r="H19" s="1"/>
      <c r="I19" s="1"/>
    </row>
    <row r="20" spans="1:9" x14ac:dyDescent="0.25">
      <c r="A20" s="1"/>
      <c r="B20" s="1"/>
      <c r="C20" s="6" t="s">
        <v>7</v>
      </c>
      <c r="D20" s="114" t="s">
        <v>10</v>
      </c>
      <c r="E20" s="115"/>
      <c r="F20" s="115"/>
      <c r="G20" s="116"/>
      <c r="H20" s="1"/>
      <c r="I20" s="1"/>
    </row>
    <row r="21" spans="1:9" x14ac:dyDescent="0.25">
      <c r="A21" s="1"/>
      <c r="B21" s="1"/>
      <c r="C21" s="6" t="s">
        <v>96</v>
      </c>
      <c r="D21" s="102" t="s">
        <v>12</v>
      </c>
      <c r="E21" s="103"/>
      <c r="F21" s="103"/>
      <c r="G21" s="104"/>
      <c r="H21" s="1"/>
      <c r="I21" s="1"/>
    </row>
    <row r="22" spans="1:9" x14ac:dyDescent="0.25">
      <c r="A22" s="1"/>
      <c r="B22" s="1"/>
      <c r="C22" s="6" t="s">
        <v>71</v>
      </c>
      <c r="D22" s="105" t="s">
        <v>192</v>
      </c>
      <c r="E22" s="106"/>
      <c r="F22" s="106"/>
      <c r="G22" s="107"/>
      <c r="H22" s="1"/>
      <c r="I22" s="1"/>
    </row>
    <row r="23" spans="1:9" x14ac:dyDescent="0.25">
      <c r="A23" s="1"/>
      <c r="B23" s="1"/>
      <c r="C23" s="6" t="s">
        <v>8</v>
      </c>
      <c r="D23" s="105" t="s">
        <v>250</v>
      </c>
      <c r="E23" s="106"/>
      <c r="F23" s="106"/>
      <c r="G23" s="107"/>
      <c r="H23" s="1"/>
      <c r="I23" s="1"/>
    </row>
    <row r="24" spans="1:9" x14ac:dyDescent="0.25">
      <c r="A24" s="1"/>
      <c r="B24" s="1"/>
      <c r="C24" s="6" t="s">
        <v>9</v>
      </c>
      <c r="D24" s="105" t="s">
        <v>193</v>
      </c>
      <c r="E24" s="106"/>
      <c r="F24" s="106"/>
      <c r="G24" s="107"/>
      <c r="H24" s="1"/>
      <c r="I24" s="1"/>
    </row>
    <row r="25" spans="1:9" x14ac:dyDescent="0.25">
      <c r="A25" s="1"/>
      <c r="B25" s="1"/>
      <c r="C25" s="6" t="s">
        <v>263</v>
      </c>
      <c r="D25" s="105" t="s">
        <v>245</v>
      </c>
      <c r="E25" s="106"/>
      <c r="F25" s="106"/>
      <c r="G25" s="107"/>
      <c r="H25" s="1"/>
      <c r="I25" s="1"/>
    </row>
    <row r="26" spans="1:9" x14ac:dyDescent="0.25">
      <c r="A26" s="1"/>
      <c r="B26" s="1"/>
      <c r="C26" s="6" t="s">
        <v>264</v>
      </c>
      <c r="D26" s="105" t="s">
        <v>72</v>
      </c>
      <c r="E26" s="106"/>
      <c r="F26" s="106"/>
      <c r="G26" s="107"/>
      <c r="H26" s="1"/>
      <c r="I26" s="1"/>
    </row>
    <row r="27" spans="1:9" x14ac:dyDescent="0.25">
      <c r="A27" s="1"/>
      <c r="B27" s="1"/>
      <c r="C27" s="6" t="s">
        <v>265</v>
      </c>
      <c r="D27" s="105" t="s">
        <v>73</v>
      </c>
      <c r="E27" s="106"/>
      <c r="F27" s="106"/>
      <c r="G27" s="107"/>
      <c r="H27" s="1"/>
      <c r="I27" s="1"/>
    </row>
    <row r="28" spans="1:9" x14ac:dyDescent="0.25">
      <c r="A28" s="1"/>
      <c r="B28" s="1"/>
      <c r="C28" s="6" t="s">
        <v>15</v>
      </c>
      <c r="D28" s="105" t="s">
        <v>74</v>
      </c>
      <c r="E28" s="106"/>
      <c r="F28" s="106"/>
      <c r="G28" s="107"/>
      <c r="H28" s="1"/>
      <c r="I28" s="1"/>
    </row>
    <row r="29" spans="1:9" x14ac:dyDescent="0.25">
      <c r="A29" s="1"/>
      <c r="B29" s="1"/>
      <c r="C29" s="6" t="s">
        <v>37</v>
      </c>
      <c r="D29" s="105" t="s">
        <v>112</v>
      </c>
      <c r="E29" s="106"/>
      <c r="F29" s="106"/>
      <c r="G29" s="107"/>
      <c r="H29" s="1"/>
      <c r="I29" s="1"/>
    </row>
    <row r="30" spans="1:9" x14ac:dyDescent="0.25">
      <c r="A30" s="1"/>
      <c r="B30" s="1"/>
      <c r="C30" s="6" t="s">
        <v>38</v>
      </c>
      <c r="D30" s="105" t="s">
        <v>36</v>
      </c>
      <c r="E30" s="106"/>
      <c r="F30" s="106"/>
      <c r="G30" s="107"/>
      <c r="H30" s="1"/>
      <c r="I30" s="1"/>
    </row>
    <row r="31" spans="1:9" x14ac:dyDescent="0.25">
      <c r="A31" s="1"/>
      <c r="B31" s="1"/>
      <c r="C31" s="6" t="s">
        <v>266</v>
      </c>
      <c r="D31" s="99" t="s">
        <v>92</v>
      </c>
      <c r="E31" s="100"/>
      <c r="F31" s="100"/>
      <c r="G31" s="10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DJOqA4Z2Se7IkW6icQPFzddpfRih53upGHA7I7Z32OXBoRbCv7LoYGgpfd8+ph2xQGniPYK0xcJ0nDsO/8zR8g==" saltValue="lZYKdcU8v4ZvVxwY0D17QA==" spinCount="100000" sheet="1" objects="1" scenarios="1"/>
  <mergeCells count="22">
    <mergeCell ref="D6:G7"/>
    <mergeCell ref="D22:G22"/>
    <mergeCell ref="D11:G11"/>
    <mergeCell ref="D8:G8"/>
    <mergeCell ref="D15:G15"/>
    <mergeCell ref="D16:G16"/>
    <mergeCell ref="D13:G13"/>
    <mergeCell ref="D17:G17"/>
    <mergeCell ref="D18:G18"/>
    <mergeCell ref="D19:G19"/>
    <mergeCell ref="D20:G20"/>
    <mergeCell ref="D14:G14"/>
    <mergeCell ref="D31:G31"/>
    <mergeCell ref="D21:G21"/>
    <mergeCell ref="D25:G25"/>
    <mergeCell ref="D26:G26"/>
    <mergeCell ref="D29:G29"/>
    <mergeCell ref="D27:G27"/>
    <mergeCell ref="D28:G28"/>
    <mergeCell ref="D24:G24"/>
    <mergeCell ref="D30:G30"/>
    <mergeCell ref="D23:G23"/>
  </mergeCells>
  <hyperlinks>
    <hyperlink ref="D14:G14" location="'Fane 2.2. Økonomisk ramme 2024'!A1" display="Samlet økonomisk ramme for 2024"/>
    <hyperlink ref="D26:G26" location="'Fane 11.1. Varige tillæg'!A1" display="Varige tillæg"/>
    <hyperlink ref="D29:G29" location="'Fane 13. Tilknyttet virksomhed'!A1" display="Tilknyttet virksomhed"/>
    <hyperlink ref="D30:G30" location="'Fane 14.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1:G21" location="'Fane 6. Ikke-påvirkelige omk.'!A1" display="Ikke-påvirkelige omkostninger"/>
    <hyperlink ref="D22:G22" location="'Fane 7. Kontrol af ØR2021'!A1" display="Kontrol af den økonomiske ramme for 2021"/>
    <hyperlink ref="D25:G25" location="'Fane 10. Anlægsprojekter (§19) '!A1" display="Anlægsprojekter (§ 19) "/>
    <hyperlink ref="D31:G31" location="'Fane 15. Nøgletal'!A1" display="Nøgletal"/>
    <hyperlink ref="D17:G17" location="'Fane 3. Omkostninger i ØR2022'!A1" display="Omkostninger i ØR2022"/>
    <hyperlink ref="D27:G27" location="'Fane 11.2. Engangstillæg'!A1" display="Engangstillæg"/>
    <hyperlink ref="D28:G28" location="'Fane 12. Periodevise driftsomk.'!A1" display="Periodevise driftsomkostninger"/>
    <hyperlink ref="D24:G24" location="'Fane 8. Skattesagen'!A1" display="Korrektion af den økonomiske ramme for 2021"/>
    <hyperlink ref="D19:G19" location="'Fane 4.2. Gen. krav - anlæg'!A1" display="Generelt effektiviseringskrav på anlæg"/>
    <hyperlink ref="D20:G20" location="'Fane 5. Individuelt eff. krav'!A1" display="Individuelt effektiviseringskrav"/>
    <hyperlink ref="D18:G18" location="'Fane 4.1. Gen. krav - drift'!A1" display="Generelt effektiviseringskrav på drift"/>
    <hyperlink ref="D23:G23" location="'Fane 8. Skattesagen'!A1" display="Skattesagen"/>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0"/>
  <sheetViews>
    <sheetView showGridLines="0" view="pageLayout" zoomScaleNormal="100" workbookViewId="0"/>
  </sheetViews>
  <sheetFormatPr defaultColWidth="9" defaultRowHeight="15" x14ac:dyDescent="0.25"/>
  <cols>
    <col min="1" max="1" width="8"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 style="2"/>
  </cols>
  <sheetData>
    <row r="1" spans="1:6" x14ac:dyDescent="0.25">
      <c r="A1" s="1"/>
      <c r="B1" s="1"/>
      <c r="C1" s="1"/>
      <c r="D1" s="1"/>
      <c r="E1" s="1"/>
      <c r="F1" s="1"/>
    </row>
    <row r="2" spans="1:6" x14ac:dyDescent="0.25">
      <c r="A2" s="1"/>
      <c r="B2" s="1"/>
      <c r="C2" s="1"/>
      <c r="D2" s="1"/>
      <c r="E2" s="1"/>
      <c r="F2" s="1"/>
    </row>
    <row r="3" spans="1:6" ht="15" customHeight="1" x14ac:dyDescent="0.25">
      <c r="A3" s="1"/>
      <c r="B3" s="117" t="s">
        <v>97</v>
      </c>
      <c r="C3" s="117"/>
      <c r="D3" s="117"/>
      <c r="E3" s="1"/>
      <c r="F3" s="1"/>
    </row>
    <row r="4" spans="1:6" ht="15" customHeight="1" x14ac:dyDescent="0.25">
      <c r="A4" s="1"/>
      <c r="B4" s="117"/>
      <c r="C4" s="117"/>
      <c r="D4" s="117"/>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50" t="s">
        <v>209</v>
      </c>
      <c r="C8" s="151"/>
      <c r="D8" s="153"/>
      <c r="E8" s="1"/>
      <c r="F8" s="1"/>
    </row>
    <row r="9" spans="1:6" ht="15" customHeight="1" x14ac:dyDescent="0.25">
      <c r="A9" s="1"/>
      <c r="B9" s="35" t="s">
        <v>32</v>
      </c>
      <c r="C9" s="11" t="s">
        <v>246</v>
      </c>
      <c r="D9" s="11"/>
      <c r="E9" s="1"/>
      <c r="F9" s="1"/>
    </row>
    <row r="10" spans="1:6" ht="15" customHeight="1" x14ac:dyDescent="0.25">
      <c r="A10" s="1"/>
      <c r="B10" s="87" t="s">
        <v>276</v>
      </c>
      <c r="C10" s="9">
        <v>3728931</v>
      </c>
      <c r="D10" s="14" t="s">
        <v>3</v>
      </c>
      <c r="E10" s="1"/>
      <c r="F10" s="1"/>
    </row>
    <row r="11" spans="1:6" ht="15" customHeight="1" x14ac:dyDescent="0.25">
      <c r="A11" s="1"/>
      <c r="B11" s="87" t="s">
        <v>277</v>
      </c>
      <c r="C11" s="9">
        <v>193924</v>
      </c>
      <c r="D11" s="14" t="s">
        <v>3</v>
      </c>
      <c r="E11" s="1"/>
      <c r="F11" s="1"/>
    </row>
    <row r="12" spans="1:6" x14ac:dyDescent="0.25">
      <c r="A12" s="1"/>
      <c r="B12" s="87" t="s">
        <v>278</v>
      </c>
      <c r="C12" s="9">
        <v>769540</v>
      </c>
      <c r="D12" s="14" t="s">
        <v>3</v>
      </c>
      <c r="E12" s="1"/>
      <c r="F12" s="1"/>
    </row>
    <row r="13" spans="1:6" x14ac:dyDescent="0.25">
      <c r="A13" s="1"/>
      <c r="B13" s="87" t="s">
        <v>279</v>
      </c>
      <c r="C13" s="9">
        <v>14884</v>
      </c>
      <c r="D13" s="14" t="s">
        <v>3</v>
      </c>
      <c r="E13" s="1"/>
      <c r="F13" s="1"/>
    </row>
    <row r="14" spans="1:6" x14ac:dyDescent="0.25">
      <c r="A14" s="1"/>
      <c r="B14" s="87" t="s">
        <v>280</v>
      </c>
      <c r="C14" s="9">
        <v>243013.47</v>
      </c>
      <c r="D14" s="14" t="s">
        <v>3</v>
      </c>
      <c r="E14" s="1"/>
      <c r="F14" s="1"/>
    </row>
    <row r="15" spans="1:6" x14ac:dyDescent="0.25">
      <c r="A15" s="1"/>
      <c r="B15" s="32" t="s">
        <v>210</v>
      </c>
      <c r="C15" s="12">
        <f>SUM(C10:C14)</f>
        <v>4950292.47</v>
      </c>
      <c r="D15" s="13" t="s">
        <v>3</v>
      </c>
      <c r="E15" s="1"/>
      <c r="F15" s="1"/>
    </row>
    <row r="16" spans="1:6" x14ac:dyDescent="0.25">
      <c r="A16" s="1"/>
      <c r="B16" s="32" t="s">
        <v>211</v>
      </c>
      <c r="C16" s="12">
        <f>C15*(1+'Fane 15. Nøgletal'!C15)^2</f>
        <v>5309027.0965287797</v>
      </c>
      <c r="D16" s="13" t="s">
        <v>3</v>
      </c>
      <c r="E16" s="1"/>
      <c r="F16" s="1"/>
    </row>
    <row r="17" spans="1:6" x14ac:dyDescent="0.25">
      <c r="A17" s="1"/>
      <c r="B17" s="16"/>
      <c r="C17" s="15"/>
      <c r="D17" s="15"/>
      <c r="E17" s="1"/>
      <c r="F17" s="1"/>
    </row>
    <row r="18" spans="1:6" x14ac:dyDescent="0.25">
      <c r="A18" s="1"/>
      <c r="B18" s="16"/>
      <c r="C18" s="15"/>
      <c r="D18" s="15"/>
      <c r="E18" s="1"/>
      <c r="F18" s="1"/>
    </row>
    <row r="19" spans="1:6" x14ac:dyDescent="0.25">
      <c r="A19" s="1"/>
      <c r="B19" s="150" t="s">
        <v>105</v>
      </c>
      <c r="C19" s="151"/>
      <c r="D19" s="153"/>
      <c r="E19" s="1"/>
      <c r="F19" s="1"/>
    </row>
    <row r="20" spans="1:6" x14ac:dyDescent="0.25">
      <c r="A20" s="1"/>
      <c r="B20" s="87" t="s">
        <v>267</v>
      </c>
      <c r="C20" s="9">
        <v>0</v>
      </c>
      <c r="D20" s="14" t="s">
        <v>3</v>
      </c>
      <c r="E20" s="1"/>
      <c r="F20" s="1"/>
    </row>
    <row r="21" spans="1:6" x14ac:dyDescent="0.25">
      <c r="A21" s="1"/>
      <c r="B21" s="87" t="s">
        <v>268</v>
      </c>
      <c r="C21" s="9">
        <v>0</v>
      </c>
      <c r="D21" s="14" t="s">
        <v>3</v>
      </c>
      <c r="E21" s="1"/>
      <c r="F21" s="1"/>
    </row>
    <row r="22" spans="1:6" x14ac:dyDescent="0.25">
      <c r="A22" s="1"/>
      <c r="B22" s="87" t="s">
        <v>269</v>
      </c>
      <c r="C22" s="9">
        <v>0</v>
      </c>
      <c r="D22" s="14" t="s">
        <v>3</v>
      </c>
      <c r="E22" s="1"/>
      <c r="F22" s="1"/>
    </row>
    <row r="23" spans="1:6" x14ac:dyDescent="0.25">
      <c r="A23" s="1"/>
      <c r="B23" s="28" t="s">
        <v>270</v>
      </c>
      <c r="C23" s="9">
        <v>0</v>
      </c>
      <c r="D23" s="14" t="s">
        <v>3</v>
      </c>
      <c r="E23" s="1"/>
      <c r="F23" s="1"/>
    </row>
    <row r="24" spans="1:6" x14ac:dyDescent="0.25">
      <c r="A24" s="1"/>
      <c r="B24" s="150"/>
      <c r="C24" s="151"/>
      <c r="D24" s="153"/>
      <c r="E24" s="1"/>
      <c r="F24" s="1"/>
    </row>
    <row r="25" spans="1:6" x14ac:dyDescent="0.25">
      <c r="A25" s="1"/>
      <c r="B25" s="1"/>
      <c r="C25" s="1"/>
      <c r="D25" s="1"/>
      <c r="E25" s="1"/>
      <c r="F25" s="1"/>
    </row>
    <row r="26" spans="1:6" x14ac:dyDescent="0.25">
      <c r="A26" s="1"/>
      <c r="B26" s="1"/>
      <c r="C26" s="1"/>
      <c r="D26" s="1"/>
      <c r="E26" s="1"/>
      <c r="F26" s="1"/>
    </row>
    <row r="27" spans="1:6" x14ac:dyDescent="0.25">
      <c r="A27" s="1"/>
      <c r="B27" s="150" t="s">
        <v>86</v>
      </c>
      <c r="C27" s="151"/>
      <c r="D27" s="153"/>
      <c r="E27" s="1"/>
      <c r="F27" s="1"/>
    </row>
    <row r="28" spans="1:6" x14ac:dyDescent="0.25">
      <c r="A28" s="1"/>
      <c r="B28" s="87" t="s">
        <v>267</v>
      </c>
      <c r="C28" s="9">
        <v>0</v>
      </c>
      <c r="D28" s="14" t="s">
        <v>3</v>
      </c>
      <c r="E28" s="1"/>
      <c r="F28" s="1"/>
    </row>
    <row r="29" spans="1:6" x14ac:dyDescent="0.25">
      <c r="A29" s="1"/>
      <c r="B29" s="87" t="s">
        <v>268</v>
      </c>
      <c r="C29" s="9">
        <v>0</v>
      </c>
      <c r="D29" s="14" t="s">
        <v>3</v>
      </c>
      <c r="E29" s="1"/>
      <c r="F29" s="1"/>
    </row>
    <row r="30" spans="1:6" x14ac:dyDescent="0.25">
      <c r="A30" s="1"/>
      <c r="B30" s="87" t="s">
        <v>269</v>
      </c>
      <c r="C30" s="9">
        <v>0</v>
      </c>
      <c r="D30" s="14" t="s">
        <v>3</v>
      </c>
      <c r="E30" s="1"/>
      <c r="F30" s="1"/>
    </row>
    <row r="31" spans="1:6" x14ac:dyDescent="0.25">
      <c r="A31" s="1"/>
      <c r="B31" s="28" t="s">
        <v>270</v>
      </c>
      <c r="C31" s="9">
        <v>0</v>
      </c>
      <c r="D31" s="14" t="s">
        <v>3</v>
      </c>
      <c r="E31" s="1"/>
      <c r="F31" s="1"/>
    </row>
    <row r="32" spans="1:6" x14ac:dyDescent="0.25">
      <c r="A32" s="1"/>
      <c r="B32" s="150"/>
      <c r="C32" s="151"/>
      <c r="D32" s="153"/>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I4p7tE0J5mRKA01Y+s6hEbpugqLLOKfJU0nk0mL+WH5ztbPemeRPrydB9H1LAI5O+RftR6vnFQJaNjLhBqYujg==" saltValue="O8gDlI8r9iXBLiBMSEn9Pg==" spinCount="100000" sheet="1" objects="1" scenarios="1"/>
  <mergeCells count="6">
    <mergeCell ref="B32:D32"/>
    <mergeCell ref="B3:D4"/>
    <mergeCell ref="B8:D8"/>
    <mergeCell ref="B19:D19"/>
    <mergeCell ref="B27:D27"/>
    <mergeCell ref="B24:D24"/>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1"/>
  <sheetViews>
    <sheetView showGridLines="0" view="pageLayout" zoomScale="87" zoomScaleNormal="100" zoomScalePageLayoutView="87" workbookViewId="0"/>
  </sheetViews>
  <sheetFormatPr defaultColWidth="9" defaultRowHeight="15" x14ac:dyDescent="0.25"/>
  <cols>
    <col min="1" max="1" width="3.5703125" style="2" customWidth="1"/>
    <col min="2" max="3" width="9" style="2"/>
    <col min="4" max="4" width="47.7109375" style="2" customWidth="1"/>
    <col min="5" max="5" width="11" style="2" bestFit="1" customWidth="1"/>
    <col min="6" max="6" width="3.28515625" style="2" customWidth="1"/>
    <col min="7" max="7" width="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40" t="s">
        <v>212</v>
      </c>
      <c r="C3" s="140"/>
      <c r="D3" s="140"/>
      <c r="E3" s="140"/>
      <c r="F3" s="140"/>
      <c r="G3" s="1"/>
    </row>
    <row r="4" spans="1:7" ht="15" customHeight="1" x14ac:dyDescent="0.25">
      <c r="A4" s="1"/>
      <c r="B4" s="140"/>
      <c r="C4" s="140"/>
      <c r="D4" s="140"/>
      <c r="E4" s="140"/>
      <c r="F4" s="140"/>
      <c r="G4" s="1"/>
    </row>
    <row r="5" spans="1:7" ht="15" customHeight="1" x14ac:dyDescent="0.25">
      <c r="A5" s="1"/>
      <c r="B5" s="85"/>
      <c r="C5" s="85"/>
      <c r="D5" s="85"/>
      <c r="E5" s="85"/>
      <c r="F5" s="85"/>
      <c r="G5" s="1"/>
    </row>
    <row r="6" spans="1:7" ht="15" customHeight="1" x14ac:dyDescent="0.25">
      <c r="A6" s="1"/>
      <c r="B6" s="85"/>
      <c r="C6" s="85"/>
      <c r="D6" s="85"/>
      <c r="E6" s="85"/>
      <c r="F6" s="85"/>
      <c r="G6" s="1"/>
    </row>
    <row r="7" spans="1:7" ht="13.5" customHeight="1" x14ac:dyDescent="0.25">
      <c r="A7" s="1"/>
      <c r="B7" s="1"/>
      <c r="C7" s="1"/>
      <c r="D7" s="1"/>
      <c r="E7" s="1"/>
      <c r="F7" s="1"/>
      <c r="G7" s="1"/>
    </row>
    <row r="8" spans="1:7" x14ac:dyDescent="0.25">
      <c r="A8" s="1"/>
      <c r="B8" s="150" t="s">
        <v>183</v>
      </c>
      <c r="C8" s="151"/>
      <c r="D8" s="151"/>
      <c r="E8" s="151"/>
      <c r="F8" s="153"/>
      <c r="G8" s="1"/>
    </row>
    <row r="9" spans="1:7" x14ac:dyDescent="0.25">
      <c r="A9" s="1"/>
      <c r="B9" s="147" t="s">
        <v>184</v>
      </c>
      <c r="C9" s="148"/>
      <c r="D9" s="149"/>
      <c r="E9" s="9">
        <v>7074309.5915404856</v>
      </c>
      <c r="F9" s="14" t="s">
        <v>3</v>
      </c>
      <c r="G9" s="1"/>
    </row>
    <row r="10" spans="1:7" x14ac:dyDescent="0.25">
      <c r="A10" s="1"/>
      <c r="B10" s="147" t="s">
        <v>185</v>
      </c>
      <c r="C10" s="148"/>
      <c r="D10" s="149"/>
      <c r="E10" s="9">
        <v>5743685</v>
      </c>
      <c r="F10" s="14" t="s">
        <v>3</v>
      </c>
      <c r="G10" s="1"/>
    </row>
    <row r="11" spans="1:7" x14ac:dyDescent="0.25">
      <c r="A11" s="1"/>
      <c r="B11" s="147" t="s">
        <v>213</v>
      </c>
      <c r="C11" s="148"/>
      <c r="D11" s="149"/>
      <c r="E11" s="9">
        <v>-17527522.220601946</v>
      </c>
      <c r="F11" s="14" t="s">
        <v>3</v>
      </c>
      <c r="G11" s="1"/>
    </row>
    <row r="12" spans="1:7" x14ac:dyDescent="0.25">
      <c r="A12" s="1"/>
      <c r="B12" s="147" t="s">
        <v>271</v>
      </c>
      <c r="C12" s="148"/>
      <c r="D12" s="149"/>
      <c r="E12" s="9">
        <v>6173456.5095626414</v>
      </c>
      <c r="F12" s="14" t="s">
        <v>3</v>
      </c>
      <c r="G12" s="1"/>
    </row>
    <row r="13" spans="1:7" x14ac:dyDescent="0.25">
      <c r="A13" s="1"/>
      <c r="B13" s="32"/>
      <c r="C13" s="33"/>
      <c r="D13" s="33"/>
      <c r="E13" s="33"/>
      <c r="F13" s="20"/>
      <c r="G13" s="1"/>
    </row>
    <row r="14" spans="1:7" ht="75.75" customHeight="1" x14ac:dyDescent="0.25">
      <c r="A14" s="1"/>
      <c r="B14" s="122" t="s">
        <v>299</v>
      </c>
      <c r="C14" s="123"/>
      <c r="D14" s="123"/>
      <c r="E14" s="123"/>
      <c r="F14" s="124"/>
      <c r="G14" s="1"/>
    </row>
    <row r="15" spans="1:7" ht="24" customHeight="1" x14ac:dyDescent="0.25">
      <c r="A15" s="1"/>
      <c r="B15" s="1"/>
      <c r="C15" s="1"/>
      <c r="D15" s="1"/>
      <c r="E15" s="1"/>
      <c r="F15" s="1"/>
      <c r="G15" s="1"/>
    </row>
    <row r="16" spans="1:7" ht="28.5" customHeight="1" x14ac:dyDescent="0.25">
      <c r="A16" s="1"/>
      <c r="B16" s="150" t="s">
        <v>186</v>
      </c>
      <c r="C16" s="151"/>
      <c r="D16" s="151"/>
      <c r="E16" s="151"/>
      <c r="F16" s="153"/>
      <c r="G16" s="1"/>
    </row>
    <row r="17" spans="1:7" x14ac:dyDescent="0.25">
      <c r="A17" s="1"/>
      <c r="B17" s="147" t="s">
        <v>272</v>
      </c>
      <c r="C17" s="148"/>
      <c r="D17" s="149"/>
      <c r="E17" s="9">
        <v>0</v>
      </c>
      <c r="F17" s="14" t="s">
        <v>3</v>
      </c>
      <c r="G17" s="1"/>
    </row>
    <row r="18" spans="1:7" x14ac:dyDescent="0.25">
      <c r="A18" s="1"/>
      <c r="B18" s="147" t="s">
        <v>187</v>
      </c>
      <c r="C18" s="148"/>
      <c r="D18" s="149"/>
      <c r="E18" s="9">
        <v>0</v>
      </c>
      <c r="F18" s="14" t="s">
        <v>3</v>
      </c>
      <c r="G18" s="1"/>
    </row>
    <row r="19" spans="1:7" x14ac:dyDescent="0.25">
      <c r="A19" s="1"/>
      <c r="B19" s="32"/>
      <c r="C19" s="33"/>
      <c r="D19" s="33"/>
      <c r="E19" s="33"/>
      <c r="F19" s="20"/>
      <c r="G19" s="1"/>
    </row>
    <row r="20" spans="1:7" ht="31.5" customHeight="1" x14ac:dyDescent="0.25">
      <c r="A20" s="1"/>
      <c r="B20" s="122" t="s">
        <v>300</v>
      </c>
      <c r="C20" s="123"/>
      <c r="D20" s="123"/>
      <c r="E20" s="123"/>
      <c r="F20" s="124"/>
      <c r="G20" s="1"/>
    </row>
    <row r="21" spans="1:7" ht="26.25" customHeight="1" x14ac:dyDescent="0.25">
      <c r="A21" s="1"/>
      <c r="B21" s="1"/>
      <c r="C21" s="1"/>
      <c r="D21" s="1"/>
      <c r="E21" s="1"/>
      <c r="F21" s="1"/>
      <c r="G21" s="1"/>
    </row>
    <row r="22" spans="1:7" ht="28.5" customHeight="1" x14ac:dyDescent="0.25">
      <c r="A22" s="1"/>
      <c r="B22" s="91" t="s">
        <v>214</v>
      </c>
      <c r="C22" s="92"/>
      <c r="D22" s="92"/>
      <c r="E22" s="92"/>
      <c r="F22" s="93"/>
      <c r="G22" s="1"/>
    </row>
    <row r="23" spans="1:7" x14ac:dyDescent="0.25">
      <c r="A23" s="1"/>
      <c r="B23" s="88" t="s">
        <v>215</v>
      </c>
      <c r="C23" s="89"/>
      <c r="D23" s="90"/>
      <c r="E23" s="9">
        <v>156375715.72203231</v>
      </c>
      <c r="F23" s="14" t="s">
        <v>3</v>
      </c>
      <c r="G23" s="1"/>
    </row>
    <row r="24" spans="1:7" x14ac:dyDescent="0.25">
      <c r="A24" s="1"/>
      <c r="B24" s="88" t="s">
        <v>216</v>
      </c>
      <c r="C24" s="89"/>
      <c r="D24" s="90"/>
      <c r="E24" s="9">
        <v>173126566.70999998</v>
      </c>
      <c r="F24" s="14" t="s">
        <v>3</v>
      </c>
      <c r="G24" s="1"/>
    </row>
    <row r="25" spans="1:7" x14ac:dyDescent="0.25">
      <c r="A25" s="1"/>
      <c r="B25" s="88" t="s">
        <v>33</v>
      </c>
      <c r="C25" s="89"/>
      <c r="D25" s="90"/>
      <c r="E25" s="9">
        <v>0</v>
      </c>
      <c r="F25" s="14" t="s">
        <v>3</v>
      </c>
      <c r="G25" s="1"/>
    </row>
    <row r="26" spans="1:7" x14ac:dyDescent="0.25">
      <c r="A26" s="1"/>
      <c r="B26" s="81" t="s">
        <v>217</v>
      </c>
      <c r="C26" s="82"/>
      <c r="D26" s="83"/>
      <c r="E26" s="62">
        <f>E23-(E24-E25)</f>
        <v>-16750850.98796767</v>
      </c>
      <c r="F26" s="17" t="s">
        <v>3</v>
      </c>
      <c r="G26" s="1"/>
    </row>
    <row r="27" spans="1:7" x14ac:dyDescent="0.25">
      <c r="A27" s="1"/>
      <c r="B27" s="32"/>
      <c r="C27" s="33"/>
      <c r="D27" s="33"/>
      <c r="E27" s="33"/>
      <c r="F27" s="20"/>
      <c r="G27" s="1"/>
    </row>
    <row r="28" spans="1:7" x14ac:dyDescent="0.25">
      <c r="A28" s="1"/>
      <c r="B28" s="1"/>
      <c r="C28" s="1"/>
      <c r="D28" s="1"/>
      <c r="E28" s="1"/>
      <c r="F28" s="1"/>
      <c r="G28" s="1"/>
    </row>
    <row r="29" spans="1:7" ht="28.5" customHeight="1" x14ac:dyDescent="0.25">
      <c r="A29" s="1"/>
      <c r="B29" s="150" t="s">
        <v>273</v>
      </c>
      <c r="C29" s="151"/>
      <c r="D29" s="151"/>
      <c r="E29" s="151"/>
      <c r="F29" s="153"/>
      <c r="G29" s="1"/>
    </row>
    <row r="30" spans="1:7" x14ac:dyDescent="0.25">
      <c r="A30" s="1"/>
      <c r="B30" s="134" t="s">
        <v>274</v>
      </c>
      <c r="C30" s="135"/>
      <c r="D30" s="136"/>
      <c r="E30" s="10">
        <f>IF(AND(SUM(E9:E11)&gt;0,SUM(E9:E11,E26)&gt;0),0,IF(AND(SUM(E9:E11)&gt;0,SUM(E9:E11,E26)&lt;0),0,IF(AND(SUM(E9:E11)&lt;0,E26&gt;0,E12=0),0,IF(AND(SUM(E9:E11)&lt;0,E26&gt;0,ABS(E12)&lt;ABS(E26)),ABS(E17),IF(AND(SUM(E9:E11)&lt;0,E26&gt;0,ABS(E12)&gt;ABS(E26),ABS(E18)&gt;ABS(E26)),-(ABS(E18)-ABS(E26)),IF(AND(SUM(E9:E11)&lt;0,E26&gt;0,ABS(E12)&gt;ABS(E26),ABS(E18)&lt;ABS(E26)),ABS(E26)-ABS(E17),IF(AND(SUM(E9:E11,E26)&lt;0),E18,0)))))))</f>
        <v>0</v>
      </c>
      <c r="F30" s="17" t="s">
        <v>3</v>
      </c>
      <c r="G30" s="1"/>
    </row>
    <row r="31" spans="1:7" x14ac:dyDescent="0.25">
      <c r="A31" s="1"/>
      <c r="B31" s="150"/>
      <c r="C31" s="151"/>
      <c r="D31" s="151"/>
      <c r="E31" s="151"/>
      <c r="F31" s="153"/>
      <c r="G31" s="1"/>
    </row>
    <row r="32" spans="1:7" x14ac:dyDescent="0.25">
      <c r="A32" s="1"/>
      <c r="B32" s="1"/>
      <c r="C32" s="1"/>
      <c r="D32" s="1"/>
      <c r="E32" s="1"/>
      <c r="F32" s="1"/>
      <c r="G32" s="1"/>
    </row>
    <row r="33" spans="1:7" ht="28.5" customHeight="1" x14ac:dyDescent="0.25">
      <c r="A33" s="1"/>
      <c r="B33" s="150" t="s">
        <v>275</v>
      </c>
      <c r="C33" s="151"/>
      <c r="D33" s="151"/>
      <c r="E33" s="151"/>
      <c r="F33" s="153"/>
      <c r="G33" s="1"/>
    </row>
    <row r="34" spans="1:7" x14ac:dyDescent="0.25">
      <c r="A34" s="1"/>
      <c r="B34" s="164" t="s">
        <v>131</v>
      </c>
      <c r="C34" s="165"/>
      <c r="D34" s="166"/>
      <c r="E34" s="9">
        <f>E26+E12</f>
        <v>-10577394.478405029</v>
      </c>
      <c r="F34" s="14" t="s">
        <v>3</v>
      </c>
      <c r="G34" s="1"/>
    </row>
    <row r="35" spans="1:7" x14ac:dyDescent="0.25">
      <c r="A35" s="1"/>
      <c r="B35" s="164" t="s">
        <v>89</v>
      </c>
      <c r="C35" s="165"/>
      <c r="D35" s="166"/>
      <c r="E35" s="9">
        <v>4</v>
      </c>
      <c r="F35" s="14" t="s">
        <v>20</v>
      </c>
      <c r="G35" s="1"/>
    </row>
    <row r="36" spans="1:7" x14ac:dyDescent="0.25">
      <c r="A36" s="1"/>
      <c r="B36" s="167" t="s">
        <v>133</v>
      </c>
      <c r="C36" s="167"/>
      <c r="D36" s="167"/>
      <c r="E36" s="10">
        <f>E34/E35</f>
        <v>-2644348.6196012571</v>
      </c>
      <c r="F36" s="17" t="s">
        <v>3</v>
      </c>
      <c r="G36" s="1"/>
    </row>
    <row r="37" spans="1:7" x14ac:dyDescent="0.25">
      <c r="A37" s="1"/>
      <c r="B37" s="168"/>
      <c r="C37" s="169"/>
      <c r="D37" s="169"/>
      <c r="E37" s="169"/>
      <c r="F37" s="170"/>
      <c r="G37" s="1"/>
    </row>
    <row r="38" spans="1:7" x14ac:dyDescent="0.25">
      <c r="A38" s="1"/>
      <c r="B38" s="1"/>
      <c r="C38" s="1"/>
      <c r="D38" s="1"/>
      <c r="E38" s="1"/>
      <c r="F38" s="1"/>
      <c r="G38" s="1"/>
    </row>
    <row r="39" spans="1:7" x14ac:dyDescent="0.25">
      <c r="A39" s="1"/>
      <c r="B39" s="1"/>
      <c r="C39" s="1"/>
      <c r="D39" s="1"/>
      <c r="E39" s="1"/>
      <c r="F39" s="1"/>
      <c r="G39" s="1"/>
    </row>
    <row r="40" spans="1:7" x14ac:dyDescent="0.25">
      <c r="B40" s="43"/>
      <c r="C40" s="43"/>
      <c r="D40" s="43"/>
      <c r="E40" s="43"/>
      <c r="F40" s="43"/>
    </row>
    <row r="41" spans="1:7" x14ac:dyDescent="0.25">
      <c r="A41" s="43"/>
      <c r="B41" s="43"/>
      <c r="C41" s="43"/>
      <c r="D41" s="43"/>
      <c r="E41" s="43"/>
      <c r="F41" s="43"/>
      <c r="G41" s="43"/>
    </row>
  </sheetData>
  <sheetProtection algorithmName="SHA-512" hashValue="mMGgBz3BNNOoSgrBugItINq0VLzcewK2OP7gc1zpxP7QmB0Lbdj1FiV4qlT3g+kSmtLe7Btc/BAWGobkVV7gxQ==" saltValue="7hhoY6taiQCTU6p+NTzgkg==" spinCount="100000" sheet="1" objects="1" scenarios="1"/>
  <mergeCells count="19">
    <mergeCell ref="B34:D34"/>
    <mergeCell ref="B35:D35"/>
    <mergeCell ref="B36:D36"/>
    <mergeCell ref="B37:F37"/>
    <mergeCell ref="B14:F14"/>
    <mergeCell ref="B16:F16"/>
    <mergeCell ref="B18:D18"/>
    <mergeCell ref="B20:F20"/>
    <mergeCell ref="B31:F31"/>
    <mergeCell ref="B33:F33"/>
    <mergeCell ref="B17:D17"/>
    <mergeCell ref="B29:F29"/>
    <mergeCell ref="B30:D30"/>
    <mergeCell ref="B12:D12"/>
    <mergeCell ref="B3:F4"/>
    <mergeCell ref="B8:F8"/>
    <mergeCell ref="B9:D9"/>
    <mergeCell ref="B10:D10"/>
    <mergeCell ref="B11:D11"/>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I44"/>
  <sheetViews>
    <sheetView view="pageLayout" zoomScaleNormal="100" workbookViewId="0"/>
  </sheetViews>
  <sheetFormatPr defaultColWidth="9.140625" defaultRowHeight="15" x14ac:dyDescent="0.25"/>
  <cols>
    <col min="1" max="1" width="4.7109375" style="58" customWidth="1"/>
    <col min="2" max="2" width="22.5703125" style="58" customWidth="1"/>
    <col min="3" max="3" width="8.28515625" style="58" customWidth="1"/>
    <col min="4" max="6" width="10.7109375" style="58" customWidth="1"/>
    <col min="7" max="7" width="11.140625" style="58" customWidth="1"/>
    <col min="8" max="8" width="3.28515625" style="58" customWidth="1"/>
    <col min="9" max="9" width="4.85546875" style="58" customWidth="1"/>
    <col min="10" max="16384" width="9.140625" style="58"/>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7" t="s">
        <v>251</v>
      </c>
      <c r="C3" s="117"/>
      <c r="D3" s="117"/>
      <c r="E3" s="117"/>
      <c r="F3" s="117"/>
      <c r="G3" s="117"/>
      <c r="H3" s="117"/>
      <c r="I3" s="1"/>
    </row>
    <row r="4" spans="1:9" ht="15" customHeight="1" x14ac:dyDescent="0.25">
      <c r="A4" s="1"/>
      <c r="B4" s="117"/>
      <c r="C4" s="117"/>
      <c r="D4" s="117"/>
      <c r="E4" s="117"/>
      <c r="F4" s="117"/>
      <c r="G4" s="117"/>
      <c r="H4" s="117"/>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50" t="s">
        <v>252</v>
      </c>
      <c r="C8" s="151"/>
      <c r="D8" s="151"/>
      <c r="E8" s="151"/>
      <c r="F8" s="151"/>
      <c r="G8" s="151"/>
      <c r="H8" s="153"/>
      <c r="I8" s="1"/>
    </row>
    <row r="9" spans="1:9" ht="15" customHeight="1" x14ac:dyDescent="0.25">
      <c r="A9" s="1"/>
      <c r="B9" s="125" t="s">
        <v>253</v>
      </c>
      <c r="C9" s="126"/>
      <c r="D9" s="126"/>
      <c r="E9" s="126"/>
      <c r="F9" s="126"/>
      <c r="G9" s="126"/>
      <c r="H9" s="127"/>
      <c r="I9" s="1"/>
    </row>
    <row r="10" spans="1:9" x14ac:dyDescent="0.25">
      <c r="A10" s="1"/>
      <c r="B10" s="171" t="s">
        <v>289</v>
      </c>
      <c r="C10" s="172"/>
      <c r="D10" s="172"/>
      <c r="E10" s="172"/>
      <c r="F10" s="173"/>
      <c r="G10" s="44">
        <v>0</v>
      </c>
      <c r="H10" s="9" t="s">
        <v>3</v>
      </c>
      <c r="I10" s="1"/>
    </row>
    <row r="11" spans="1:9" x14ac:dyDescent="0.25">
      <c r="A11" s="1"/>
      <c r="B11" s="171" t="s">
        <v>290</v>
      </c>
      <c r="C11" s="172"/>
      <c r="D11" s="172"/>
      <c r="E11" s="172"/>
      <c r="F11" s="173"/>
      <c r="G11" s="44">
        <v>0</v>
      </c>
      <c r="H11" s="9" t="s">
        <v>3</v>
      </c>
      <c r="I11" s="1"/>
    </row>
    <row r="12" spans="1:9" x14ac:dyDescent="0.25">
      <c r="A12" s="1"/>
      <c r="B12" s="171" t="s">
        <v>291</v>
      </c>
      <c r="C12" s="172"/>
      <c r="D12" s="172"/>
      <c r="E12" s="172"/>
      <c r="F12" s="173"/>
      <c r="G12" s="9">
        <v>0</v>
      </c>
      <c r="H12" s="9" t="s">
        <v>3</v>
      </c>
      <c r="I12" s="1"/>
    </row>
    <row r="13" spans="1:9" x14ac:dyDescent="0.25">
      <c r="A13" s="1"/>
      <c r="B13" s="171" t="s">
        <v>292</v>
      </c>
      <c r="C13" s="172"/>
      <c r="D13" s="172"/>
      <c r="E13" s="172"/>
      <c r="F13" s="173"/>
      <c r="G13" s="9">
        <v>0</v>
      </c>
      <c r="H13" s="9" t="s">
        <v>3</v>
      </c>
      <c r="I13" s="1"/>
    </row>
    <row r="14" spans="1:9" x14ac:dyDescent="0.25">
      <c r="A14" s="1"/>
      <c r="B14" s="171" t="s">
        <v>293</v>
      </c>
      <c r="C14" s="172"/>
      <c r="D14" s="172"/>
      <c r="E14" s="172"/>
      <c r="F14" s="173"/>
      <c r="G14" s="9">
        <v>0</v>
      </c>
      <c r="H14" s="9" t="s">
        <v>3</v>
      </c>
      <c r="I14" s="1"/>
    </row>
    <row r="15" spans="1:9" x14ac:dyDescent="0.25">
      <c r="A15" s="1"/>
      <c r="B15" s="171" t="s">
        <v>294</v>
      </c>
      <c r="C15" s="172"/>
      <c r="D15" s="172"/>
      <c r="E15" s="172"/>
      <c r="F15" s="173"/>
      <c r="G15" s="9">
        <v>0</v>
      </c>
      <c r="H15" s="9" t="s">
        <v>3</v>
      </c>
      <c r="I15" s="1"/>
    </row>
    <row r="16" spans="1:9" x14ac:dyDescent="0.25">
      <c r="A16" s="1"/>
      <c r="B16" s="171" t="s">
        <v>295</v>
      </c>
      <c r="C16" s="172"/>
      <c r="D16" s="172"/>
      <c r="E16" s="172"/>
      <c r="F16" s="173"/>
      <c r="G16" s="9">
        <v>0</v>
      </c>
      <c r="H16" s="9" t="s">
        <v>3</v>
      </c>
      <c r="I16" s="1"/>
    </row>
    <row r="17" spans="1:9" x14ac:dyDescent="0.25">
      <c r="A17" s="1"/>
      <c r="B17" s="171" t="s">
        <v>296</v>
      </c>
      <c r="C17" s="172"/>
      <c r="D17" s="172"/>
      <c r="E17" s="172"/>
      <c r="F17" s="173"/>
      <c r="G17" s="9">
        <v>0</v>
      </c>
      <c r="H17" s="9" t="s">
        <v>3</v>
      </c>
      <c r="I17" s="1"/>
    </row>
    <row r="18" spans="1:9" x14ac:dyDescent="0.25">
      <c r="A18" s="1"/>
      <c r="B18" s="150" t="s">
        <v>254</v>
      </c>
      <c r="C18" s="151"/>
      <c r="D18" s="151"/>
      <c r="E18" s="151"/>
      <c r="F18" s="153"/>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sheetData>
  <sheetProtection algorithmName="SHA-512" hashValue="UZlsHo1vN8VkpQDOkwdR6LIGuhyXdnXUod7f9pV39kFGA7DXBvBX+n23UvCsnmoQ2lgruvYLBkqv38+RZa81qg==" saltValue="8zC2/04vtmHPsplOeNkBtA==" spinCount="100000" sheet="1" objects="1" scenarios="1"/>
  <mergeCells count="12">
    <mergeCell ref="B17:F17"/>
    <mergeCell ref="B18:F18"/>
    <mergeCell ref="B12:F12"/>
    <mergeCell ref="B13:F13"/>
    <mergeCell ref="B14:F14"/>
    <mergeCell ref="B15:F15"/>
    <mergeCell ref="B16:F16"/>
    <mergeCell ref="B11:F11"/>
    <mergeCell ref="B3:H4"/>
    <mergeCell ref="B8:H8"/>
    <mergeCell ref="B9:H9"/>
    <mergeCell ref="B10:F10"/>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9"/>
  <sheetViews>
    <sheetView showGridLines="0" view="pageLayout" zoomScale="91" zoomScaleNormal="100" zoomScalePageLayoutView="91" workbookViewId="0"/>
  </sheetViews>
  <sheetFormatPr defaultColWidth="9" defaultRowHeight="15" x14ac:dyDescent="0.25"/>
  <cols>
    <col min="1" max="1" width="4.7109375" style="2" customWidth="1"/>
    <col min="2" max="3" width="9" style="2"/>
    <col min="4" max="4" width="44.28515625" style="2" customWidth="1"/>
    <col min="5" max="5" width="10.7109375" style="2" customWidth="1"/>
    <col min="6" max="6" width="3.28515625" style="2" customWidth="1"/>
    <col min="7" max="7" width="4.71093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40" t="s">
        <v>255</v>
      </c>
      <c r="C3" s="140"/>
      <c r="D3" s="140"/>
      <c r="E3" s="140"/>
      <c r="F3" s="140"/>
      <c r="G3" s="1"/>
    </row>
    <row r="4" spans="1:7" ht="15" customHeight="1" x14ac:dyDescent="0.25">
      <c r="A4" s="1"/>
      <c r="B4" s="140"/>
      <c r="C4" s="140"/>
      <c r="D4" s="140"/>
      <c r="E4" s="140"/>
      <c r="F4" s="14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74" t="s">
        <v>218</v>
      </c>
      <c r="C9" s="174"/>
      <c r="D9" s="174"/>
      <c r="E9" s="174"/>
      <c r="F9" s="174"/>
      <c r="G9" s="1"/>
    </row>
    <row r="10" spans="1:7" x14ac:dyDescent="0.25">
      <c r="A10" s="1"/>
      <c r="B10" s="122" t="s">
        <v>87</v>
      </c>
      <c r="C10" s="123"/>
      <c r="D10" s="124"/>
      <c r="E10" s="7">
        <v>0</v>
      </c>
      <c r="F10" s="8" t="s">
        <v>3</v>
      </c>
      <c r="G10" s="1"/>
    </row>
    <row r="11" spans="1:7" x14ac:dyDescent="0.25">
      <c r="A11" s="1"/>
      <c r="B11" s="147" t="s">
        <v>219</v>
      </c>
      <c r="C11" s="148"/>
      <c r="D11" s="149"/>
      <c r="E11" s="7">
        <v>0</v>
      </c>
      <c r="F11" s="8" t="s">
        <v>3</v>
      </c>
      <c r="G11" s="1"/>
    </row>
    <row r="12" spans="1:7" x14ac:dyDescent="0.25">
      <c r="A12" s="1"/>
      <c r="B12" s="134" t="s">
        <v>88</v>
      </c>
      <c r="C12" s="135"/>
      <c r="D12" s="136"/>
      <c r="E12" s="10">
        <f>E11-E10</f>
        <v>0</v>
      </c>
      <c r="F12" s="11" t="s">
        <v>3</v>
      </c>
      <c r="G12" s="1"/>
    </row>
    <row r="13" spans="1:7" x14ac:dyDescent="0.25">
      <c r="A13" s="1"/>
      <c r="B13" s="174" t="s">
        <v>82</v>
      </c>
      <c r="C13" s="174"/>
      <c r="D13" s="174"/>
      <c r="E13" s="174"/>
      <c r="F13" s="174"/>
      <c r="G13" s="1"/>
    </row>
    <row r="14" spans="1:7" x14ac:dyDescent="0.25">
      <c r="A14" s="1"/>
      <c r="B14" s="147" t="s">
        <v>220</v>
      </c>
      <c r="C14" s="148"/>
      <c r="D14" s="149"/>
      <c r="E14" s="9">
        <v>100231</v>
      </c>
      <c r="F14" s="8" t="s">
        <v>3</v>
      </c>
      <c r="G14" s="1"/>
    </row>
    <row r="15" spans="1:7" x14ac:dyDescent="0.25">
      <c r="A15" s="1"/>
      <c r="B15" s="122" t="s">
        <v>221</v>
      </c>
      <c r="C15" s="123"/>
      <c r="D15" s="124"/>
      <c r="E15" s="9">
        <v>0</v>
      </c>
      <c r="F15" s="8" t="s">
        <v>3</v>
      </c>
      <c r="G15" s="1"/>
    </row>
    <row r="16" spans="1:7" x14ac:dyDescent="0.25">
      <c r="A16" s="1"/>
      <c r="B16" s="134" t="s">
        <v>88</v>
      </c>
      <c r="C16" s="135"/>
      <c r="D16" s="136"/>
      <c r="E16" s="10">
        <f>E15-E14</f>
        <v>-100231</v>
      </c>
      <c r="F16" s="11" t="s">
        <v>3</v>
      </c>
      <c r="G16" s="1"/>
    </row>
    <row r="17" spans="1:7" ht="15" customHeight="1" x14ac:dyDescent="0.25">
      <c r="A17" s="1"/>
      <c r="B17" s="32" t="s">
        <v>222</v>
      </c>
      <c r="C17" s="33"/>
      <c r="D17" s="33"/>
      <c r="E17" s="12">
        <f>E12+E16</f>
        <v>-100231</v>
      </c>
      <c r="F17" s="13" t="s">
        <v>3</v>
      </c>
      <c r="G17" s="1"/>
    </row>
    <row r="18" spans="1:7" ht="15" customHeight="1"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dbMu/trC+aas5JynBEX/JREoqFsdgJt9bK/4rju75gemf5Hz/KgeVZIRIt7AWmPgs8pQtb2dJPNSAYLvBPoKvQ==" saltValue="n4ZUSUX5p0hfPXxnD9vFhg=="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 defaultRowHeight="15" x14ac:dyDescent="0.25"/>
  <cols>
    <col min="1" max="1" width="4.7109375" style="2" customWidth="1"/>
    <col min="2" max="2" width="22.5703125" style="2" customWidth="1"/>
    <col min="3" max="3" width="8.28515625" style="2" customWidth="1"/>
    <col min="4" max="4" width="8.5703125" style="2" customWidth="1"/>
    <col min="5" max="5" width="3" style="2" customWidth="1"/>
    <col min="6" max="6" width="8.5703125" style="2" customWidth="1"/>
    <col min="7" max="7" width="3" style="2" customWidth="1"/>
    <col min="8" max="8" width="8.5703125" style="2" customWidth="1"/>
    <col min="9" max="9" width="3" style="2" customWidth="1"/>
    <col min="10" max="10" width="8.5703125" style="2" customWidth="1"/>
    <col min="11" max="11" width="3" style="2" customWidth="1"/>
    <col min="12" max="12" width="4.85546875" style="2" customWidth="1"/>
    <col min="13" max="16384" width="9"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7" t="s">
        <v>256</v>
      </c>
      <c r="C3" s="117"/>
      <c r="D3" s="117"/>
      <c r="E3" s="117"/>
      <c r="F3" s="117"/>
      <c r="G3" s="117"/>
      <c r="H3" s="117"/>
      <c r="I3" s="117"/>
      <c r="J3" s="117"/>
      <c r="K3" s="117"/>
      <c r="L3" s="1"/>
    </row>
    <row r="4" spans="1:12" ht="15" customHeight="1" x14ac:dyDescent="0.25">
      <c r="A4" s="1"/>
      <c r="B4" s="117"/>
      <c r="C4" s="117"/>
      <c r="D4" s="117"/>
      <c r="E4" s="117"/>
      <c r="F4" s="117"/>
      <c r="G4" s="117"/>
      <c r="H4" s="117"/>
      <c r="I4" s="117"/>
      <c r="J4" s="117"/>
      <c r="K4" s="117"/>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50" t="s">
        <v>229</v>
      </c>
      <c r="C8" s="151"/>
      <c r="D8" s="151"/>
      <c r="E8" s="151"/>
      <c r="F8" s="151"/>
      <c r="G8" s="151"/>
      <c r="H8" s="151"/>
      <c r="I8" s="151"/>
      <c r="J8" s="151"/>
      <c r="K8" s="153"/>
      <c r="L8" s="1"/>
    </row>
    <row r="9" spans="1:12" ht="39.75" customHeight="1" x14ac:dyDescent="0.25">
      <c r="A9" s="1"/>
      <c r="B9" s="19" t="s">
        <v>0</v>
      </c>
      <c r="C9" s="19" t="s">
        <v>1</v>
      </c>
      <c r="D9" s="175" t="s">
        <v>247</v>
      </c>
      <c r="E9" s="176"/>
      <c r="F9" s="175" t="s">
        <v>2</v>
      </c>
      <c r="G9" s="176"/>
      <c r="H9" s="175" t="s">
        <v>249</v>
      </c>
      <c r="I9" s="176"/>
      <c r="J9" s="175" t="s">
        <v>30</v>
      </c>
      <c r="K9" s="176"/>
      <c r="L9" s="1"/>
    </row>
    <row r="10" spans="1:12" ht="39" x14ac:dyDescent="0.25">
      <c r="A10" s="1"/>
      <c r="B10" s="95" t="s">
        <v>281</v>
      </c>
      <c r="C10" s="38">
        <v>20</v>
      </c>
      <c r="D10" s="9">
        <v>29467379.059999999</v>
      </c>
      <c r="E10" s="14" t="s">
        <v>3</v>
      </c>
      <c r="F10" s="9">
        <f>IFERROR(D10/C10,0)</f>
        <v>1473368.953</v>
      </c>
      <c r="G10" s="14" t="s">
        <v>3</v>
      </c>
      <c r="H10" s="9">
        <v>0</v>
      </c>
      <c r="I10" s="14" t="s">
        <v>3</v>
      </c>
      <c r="J10" s="9">
        <v>0</v>
      </c>
      <c r="K10" s="14" t="s">
        <v>3</v>
      </c>
      <c r="L10" s="1"/>
    </row>
    <row r="11" spans="1:12" ht="26.25" x14ac:dyDescent="0.25">
      <c r="A11" s="1"/>
      <c r="B11" s="95" t="s">
        <v>282</v>
      </c>
      <c r="C11" s="38">
        <v>10</v>
      </c>
      <c r="D11" s="9">
        <v>2698841.33</v>
      </c>
      <c r="E11" s="14" t="s">
        <v>3</v>
      </c>
      <c r="F11" s="9">
        <f t="shared" ref="F11:F13" si="0">IFERROR(D11/C11,0)</f>
        <v>269884.13300000003</v>
      </c>
      <c r="G11" s="14" t="s">
        <v>3</v>
      </c>
      <c r="H11" s="9">
        <v>0</v>
      </c>
      <c r="I11" s="14" t="s">
        <v>3</v>
      </c>
      <c r="J11" s="9">
        <v>0</v>
      </c>
      <c r="K11" s="14" t="s">
        <v>3</v>
      </c>
      <c r="L11" s="1"/>
    </row>
    <row r="12" spans="1:12" x14ac:dyDescent="0.25">
      <c r="A12" s="1"/>
      <c r="B12" s="95" t="s">
        <v>283</v>
      </c>
      <c r="C12" s="38">
        <v>20</v>
      </c>
      <c r="D12" s="9">
        <v>2856473.35</v>
      </c>
      <c r="E12" s="14" t="s">
        <v>3</v>
      </c>
      <c r="F12" s="9">
        <f t="shared" si="0"/>
        <v>142823.66750000001</v>
      </c>
      <c r="G12" s="14" t="s">
        <v>3</v>
      </c>
      <c r="H12" s="9">
        <v>0</v>
      </c>
      <c r="I12" s="14" t="s">
        <v>3</v>
      </c>
      <c r="J12" s="9">
        <v>0</v>
      </c>
      <c r="K12" s="14" t="s">
        <v>3</v>
      </c>
      <c r="L12" s="1"/>
    </row>
    <row r="13" spans="1:12" x14ac:dyDescent="0.25">
      <c r="A13" s="1"/>
      <c r="B13" s="95" t="s">
        <v>284</v>
      </c>
      <c r="C13" s="38">
        <v>10</v>
      </c>
      <c r="D13" s="9">
        <v>261617.04</v>
      </c>
      <c r="E13" s="14" t="s">
        <v>3</v>
      </c>
      <c r="F13" s="9">
        <f t="shared" si="0"/>
        <v>26161.704000000002</v>
      </c>
      <c r="G13" s="14" t="s">
        <v>3</v>
      </c>
      <c r="H13" s="9">
        <v>0</v>
      </c>
      <c r="I13" s="14" t="s">
        <v>3</v>
      </c>
      <c r="J13" s="9">
        <v>0</v>
      </c>
      <c r="K13" s="14" t="s">
        <v>3</v>
      </c>
      <c r="L13" s="1"/>
    </row>
    <row r="14" spans="1:12" x14ac:dyDescent="0.25">
      <c r="A14" s="1"/>
      <c r="B14" s="150" t="s">
        <v>230</v>
      </c>
      <c r="C14" s="151"/>
      <c r="D14" s="151"/>
      <c r="E14" s="153"/>
      <c r="F14" s="12">
        <f>SUM(F10:F13)</f>
        <v>1912238.4575</v>
      </c>
      <c r="G14" s="93" t="s">
        <v>248</v>
      </c>
      <c r="H14" s="12">
        <f>SUM(H10:H13)</f>
        <v>0</v>
      </c>
      <c r="I14" s="93" t="s">
        <v>248</v>
      </c>
      <c r="J14" s="12">
        <f>SUM(J10:J13)</f>
        <v>0</v>
      </c>
      <c r="K14" s="13" t="s">
        <v>3</v>
      </c>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JUZ4k2K4yfyKp3SUosxflGnvHFD99PwDwd8ZGwPqrAl2pdZ0eTrGv/QzgfvO+RtHbwcJv+7E8vLMc/5HJ1Lmlw==" saltValue="V9J7Gof6IDj5LTQlZX9ZbA==" spinCount="100000" sheet="1" objects="1" scenarios="1"/>
  <mergeCells count="7">
    <mergeCell ref="B14:E14"/>
    <mergeCell ref="B3:K4"/>
    <mergeCell ref="B8:K8"/>
    <mergeCell ref="D9:E9"/>
    <mergeCell ref="F9:G9"/>
    <mergeCell ref="H9:I9"/>
    <mergeCell ref="J9:K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50"/>
  <sheetViews>
    <sheetView showGridLines="0" view="pageLayout" zoomScaleNormal="100" workbookViewId="0"/>
  </sheetViews>
  <sheetFormatPr defaultColWidth="9" defaultRowHeight="15" x14ac:dyDescent="0.25"/>
  <cols>
    <col min="1" max="1" width="5" style="2" customWidth="1"/>
    <col min="2" max="2" width="35" style="2" customWidth="1"/>
    <col min="3" max="3" width="16.28515625" style="2" customWidth="1"/>
    <col min="4" max="4" width="3.28515625" style="2" customWidth="1"/>
    <col min="5" max="5" width="19"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7" t="s">
        <v>257</v>
      </c>
      <c r="C3" s="117"/>
      <c r="D3" s="117"/>
      <c r="E3" s="117"/>
      <c r="F3" s="117"/>
      <c r="G3" s="1"/>
    </row>
    <row r="4" spans="1:7" ht="15" customHeight="1" x14ac:dyDescent="0.25">
      <c r="A4" s="1"/>
      <c r="B4" s="117"/>
      <c r="C4" s="117"/>
      <c r="D4" s="117"/>
      <c r="E4" s="117"/>
      <c r="F4" s="11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68</v>
      </c>
      <c r="C8" s="33"/>
      <c r="D8" s="33"/>
      <c r="E8" s="33"/>
      <c r="F8" s="20"/>
      <c r="G8" s="1"/>
    </row>
    <row r="9" spans="1:7" ht="17.25" customHeight="1" x14ac:dyDescent="0.25">
      <c r="A9" s="1"/>
      <c r="B9" s="78" t="s">
        <v>17</v>
      </c>
      <c r="C9" s="78" t="s">
        <v>11</v>
      </c>
      <c r="D9" s="79"/>
      <c r="E9" s="78" t="s">
        <v>31</v>
      </c>
      <c r="F9" s="98"/>
      <c r="G9" s="1"/>
    </row>
    <row r="10" spans="1:7" x14ac:dyDescent="0.25">
      <c r="A10" s="1"/>
      <c r="B10" s="25" t="s">
        <v>241</v>
      </c>
      <c r="C10" s="22">
        <f>'Fane 10. Anlægsprojekter (§19) '!H14</f>
        <v>0</v>
      </c>
      <c r="D10" s="14" t="s">
        <v>3</v>
      </c>
      <c r="E10" s="9">
        <f>'Fane 10. Anlægsprojekter (§19) '!F14+'Fane 10. Anlægsprojekter (§19) '!J14</f>
        <v>1912238.4575</v>
      </c>
      <c r="F10" s="14" t="s">
        <v>3</v>
      </c>
      <c r="G10" s="1"/>
    </row>
    <row r="11" spans="1:7" x14ac:dyDescent="0.25">
      <c r="A11" s="1"/>
      <c r="B11" s="39" t="s">
        <v>285</v>
      </c>
      <c r="C11" s="22">
        <v>50697</v>
      </c>
      <c r="D11" s="14" t="s">
        <v>3</v>
      </c>
      <c r="E11" s="9">
        <v>0</v>
      </c>
      <c r="F11" s="14" t="s">
        <v>3</v>
      </c>
      <c r="G11" s="1"/>
    </row>
    <row r="12" spans="1:7" x14ac:dyDescent="0.25">
      <c r="A12" s="1"/>
      <c r="B12" s="25" t="s">
        <v>297</v>
      </c>
      <c r="C12" s="22">
        <v>30554.49</v>
      </c>
      <c r="D12" s="14" t="s">
        <v>3</v>
      </c>
      <c r="E12" s="9">
        <v>385206.05</v>
      </c>
      <c r="F12" s="14" t="s">
        <v>3</v>
      </c>
      <c r="G12" s="1"/>
    </row>
    <row r="13" spans="1:7" x14ac:dyDescent="0.25">
      <c r="A13" s="1"/>
      <c r="B13" s="25" t="s">
        <v>288</v>
      </c>
      <c r="C13" s="22">
        <v>1017.78</v>
      </c>
      <c r="D13" s="14" t="s">
        <v>3</v>
      </c>
      <c r="E13" s="9">
        <v>47973.8</v>
      </c>
      <c r="F13" s="14" t="s">
        <v>3</v>
      </c>
      <c r="G13" s="1"/>
    </row>
    <row r="14" spans="1:7" x14ac:dyDescent="0.25">
      <c r="A14" s="1"/>
      <c r="B14" s="25" t="s">
        <v>298</v>
      </c>
      <c r="C14" s="22">
        <v>30317.91</v>
      </c>
      <c r="D14" s="14" t="s">
        <v>3</v>
      </c>
      <c r="E14" s="9">
        <v>877192.72</v>
      </c>
      <c r="F14" s="14" t="s">
        <v>3</v>
      </c>
      <c r="G14" s="1"/>
    </row>
    <row r="15" spans="1:7" x14ac:dyDescent="0.25">
      <c r="A15" s="1"/>
      <c r="B15" s="32" t="s">
        <v>144</v>
      </c>
      <c r="C15" s="12">
        <f>SUM(C10:C14)</f>
        <v>112587.18000000001</v>
      </c>
      <c r="D15" s="13" t="s">
        <v>3</v>
      </c>
      <c r="E15" s="12">
        <f>SUM(E10:E14)</f>
        <v>3222611.0274999999</v>
      </c>
      <c r="F15" s="13" t="s">
        <v>3</v>
      </c>
      <c r="G15" s="1"/>
    </row>
    <row r="16" spans="1:7" x14ac:dyDescent="0.25">
      <c r="A16" s="1"/>
      <c r="B16" s="32" t="s">
        <v>223</v>
      </c>
      <c r="C16" s="12">
        <f>C15*(1+'Fane 15. Nøgletal'!C15)</f>
        <v>116595.28360800001</v>
      </c>
      <c r="D16" s="13" t="s">
        <v>3</v>
      </c>
      <c r="E16" s="12">
        <f>E15*(1+'Fane 15. Nøgletal'!C15)</f>
        <v>3337335.9800789999</v>
      </c>
      <c r="F16" s="13" t="s">
        <v>3</v>
      </c>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rH64nYjl4Ug2CwsDrQMLom8ehHgG4143SGvj05O3EmjaxPOsQqr9guDUd63Qc19oe0503WOCA0PPR3D8Q/2K0Q==" saltValue="PXii+I/7NWFaDXy/L0cNLA=="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7"/>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6.28515625" style="2" customWidth="1"/>
    <col min="4" max="4" width="3.28515625" style="2" customWidth="1"/>
    <col min="5" max="5" width="19"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7" t="s">
        <v>258</v>
      </c>
      <c r="C3" s="117"/>
      <c r="D3" s="117"/>
      <c r="E3" s="117"/>
      <c r="F3" s="117"/>
      <c r="G3" s="1"/>
    </row>
    <row r="4" spans="1:7" ht="15" customHeight="1" x14ac:dyDescent="0.25">
      <c r="A4" s="1"/>
      <c r="B4" s="117"/>
      <c r="C4" s="117"/>
      <c r="D4" s="117"/>
      <c r="E4" s="117"/>
      <c r="F4" s="117"/>
      <c r="G4" s="1"/>
    </row>
    <row r="5" spans="1:7" x14ac:dyDescent="0.25">
      <c r="A5" s="1"/>
      <c r="B5" s="1"/>
      <c r="C5" s="1"/>
      <c r="D5" s="1"/>
      <c r="E5" s="1"/>
      <c r="F5" s="1"/>
      <c r="G5" s="1"/>
    </row>
    <row r="6" spans="1:7" x14ac:dyDescent="0.25">
      <c r="A6" s="1"/>
      <c r="B6" s="1"/>
      <c r="C6" s="1"/>
      <c r="D6" s="1"/>
      <c r="E6" s="1"/>
      <c r="F6" s="1"/>
      <c r="G6" s="1"/>
    </row>
    <row r="7" spans="1:7" x14ac:dyDescent="0.25">
      <c r="A7" s="1"/>
      <c r="B7" s="91" t="s">
        <v>85</v>
      </c>
      <c r="C7" s="92"/>
      <c r="D7" s="92"/>
      <c r="E7" s="92"/>
      <c r="F7" s="93"/>
      <c r="G7" s="1"/>
    </row>
    <row r="8" spans="1:7" x14ac:dyDescent="0.25">
      <c r="A8" s="1"/>
      <c r="B8" s="78" t="s">
        <v>17</v>
      </c>
      <c r="C8" s="78" t="s">
        <v>11</v>
      </c>
      <c r="D8" s="79"/>
      <c r="E8" s="78" t="s">
        <v>31</v>
      </c>
      <c r="F8" s="98"/>
      <c r="G8" s="1"/>
    </row>
    <row r="9" spans="1:7" x14ac:dyDescent="0.25">
      <c r="A9" s="1"/>
      <c r="B9" s="25" t="s">
        <v>286</v>
      </c>
      <c r="C9" s="22">
        <v>1013943</v>
      </c>
      <c r="D9" s="14" t="s">
        <v>3</v>
      </c>
      <c r="E9" s="22">
        <v>0</v>
      </c>
      <c r="F9" s="14" t="s">
        <v>3</v>
      </c>
      <c r="G9" s="1"/>
    </row>
    <row r="10" spans="1:7" x14ac:dyDescent="0.25">
      <c r="A10" s="1"/>
      <c r="B10" s="32" t="s">
        <v>232</v>
      </c>
      <c r="C10" s="12">
        <f>SUM(C9:C9)</f>
        <v>1013943</v>
      </c>
      <c r="D10" s="13" t="s">
        <v>3</v>
      </c>
      <c r="E10" s="12">
        <f>SUM(E9:E9)</f>
        <v>0</v>
      </c>
      <c r="F10" s="13" t="s">
        <v>3</v>
      </c>
      <c r="G10" s="1"/>
    </row>
    <row r="11" spans="1:7" x14ac:dyDescent="0.25">
      <c r="A11" s="1"/>
      <c r="B11" s="32" t="s">
        <v>145</v>
      </c>
      <c r="C11" s="12">
        <f>C10*(1+'Fane 15. Nøgletal'!$C$15)^2</f>
        <v>1087420.77240048</v>
      </c>
      <c r="D11" s="13" t="s">
        <v>3</v>
      </c>
      <c r="E11" s="12">
        <f>E10*(1+'Fane 15. Nøgletal'!$C$15)^2</f>
        <v>0</v>
      </c>
      <c r="F11" s="13" t="s">
        <v>3</v>
      </c>
      <c r="G11" s="1"/>
    </row>
    <row r="12" spans="1:7" x14ac:dyDescent="0.25">
      <c r="A12" s="1"/>
      <c r="B12" s="1"/>
      <c r="C12" s="1"/>
      <c r="D12" s="1"/>
      <c r="E12" s="1"/>
      <c r="F12" s="1"/>
      <c r="G12" s="1"/>
    </row>
    <row r="13" spans="1:7" x14ac:dyDescent="0.25">
      <c r="A13" s="1"/>
      <c r="B13" s="96"/>
      <c r="C13" s="96"/>
      <c r="D13" s="96"/>
      <c r="E13" s="96"/>
      <c r="F13" s="96"/>
      <c r="G13" s="1"/>
    </row>
    <row r="14" spans="1:7" x14ac:dyDescent="0.25">
      <c r="A14" s="1"/>
      <c r="B14" s="50"/>
      <c r="C14" s="50"/>
      <c r="D14" s="50"/>
      <c r="E14" s="50"/>
      <c r="F14" s="51"/>
      <c r="G14" s="1"/>
    </row>
    <row r="15" spans="1:7" x14ac:dyDescent="0.25">
      <c r="A15" s="1"/>
      <c r="B15" s="52"/>
      <c r="C15" s="53"/>
      <c r="D15" s="54"/>
      <c r="E15" s="53"/>
      <c r="F15" s="54"/>
      <c r="G15" s="1"/>
    </row>
    <row r="16" spans="1:7" x14ac:dyDescent="0.25">
      <c r="A16" s="1"/>
      <c r="B16" s="52"/>
      <c r="C16" s="53"/>
      <c r="D16" s="54"/>
      <c r="E16" s="53"/>
      <c r="F16" s="54"/>
      <c r="G16" s="1"/>
    </row>
    <row r="17" spans="1:7" x14ac:dyDescent="0.25">
      <c r="A17" s="1"/>
      <c r="B17" s="31"/>
      <c r="C17" s="55"/>
      <c r="D17" s="56"/>
      <c r="E17" s="55"/>
      <c r="F17" s="56"/>
      <c r="G17" s="1"/>
    </row>
    <row r="18" spans="1:7" x14ac:dyDescent="0.25">
      <c r="A18" s="1"/>
      <c r="B18" s="31"/>
      <c r="C18" s="55"/>
      <c r="D18" s="56"/>
      <c r="E18" s="55"/>
      <c r="F18" s="56"/>
      <c r="G18" s="1"/>
    </row>
    <row r="19" spans="1:7" x14ac:dyDescent="0.25">
      <c r="A19" s="1"/>
      <c r="B19" s="49"/>
      <c r="C19" s="49"/>
      <c r="D19" s="49"/>
      <c r="E19" s="49"/>
      <c r="F19" s="49"/>
      <c r="G19" s="1"/>
    </row>
    <row r="20" spans="1:7" x14ac:dyDescent="0.25">
      <c r="A20" s="1"/>
      <c r="B20" s="177"/>
      <c r="C20" s="177"/>
      <c r="D20" s="177"/>
      <c r="E20" s="177"/>
      <c r="F20" s="177"/>
      <c r="G20" s="1"/>
    </row>
    <row r="21" spans="1:7" x14ac:dyDescent="0.25">
      <c r="A21" s="1"/>
      <c r="B21" s="50"/>
      <c r="C21" s="50"/>
      <c r="D21" s="50"/>
      <c r="E21" s="50"/>
      <c r="F21" s="51"/>
      <c r="G21" s="1"/>
    </row>
    <row r="22" spans="1:7" x14ac:dyDescent="0.25">
      <c r="A22" s="1"/>
      <c r="B22" s="52"/>
      <c r="C22" s="53"/>
      <c r="D22" s="54"/>
      <c r="E22" s="53"/>
      <c r="F22" s="54"/>
      <c r="G22" s="1"/>
    </row>
    <row r="23" spans="1:7" x14ac:dyDescent="0.25">
      <c r="A23" s="1"/>
      <c r="B23" s="52"/>
      <c r="C23" s="53"/>
      <c r="D23" s="54"/>
      <c r="E23" s="53"/>
      <c r="F23" s="54"/>
      <c r="G23" s="1"/>
    </row>
    <row r="24" spans="1:7" x14ac:dyDescent="0.25">
      <c r="A24" s="1"/>
      <c r="B24" s="31"/>
      <c r="C24" s="55"/>
      <c r="D24" s="56"/>
      <c r="E24" s="55"/>
      <c r="F24" s="56"/>
      <c r="G24" s="1"/>
    </row>
    <row r="25" spans="1:7" x14ac:dyDescent="0.25">
      <c r="A25" s="1"/>
      <c r="B25" s="31"/>
      <c r="C25" s="55"/>
      <c r="D25" s="56"/>
      <c r="E25" s="55"/>
      <c r="F25" s="56"/>
      <c r="G25" s="1"/>
    </row>
    <row r="26" spans="1:7" x14ac:dyDescent="0.25">
      <c r="A26" s="1"/>
      <c r="B26" s="49"/>
      <c r="C26" s="49"/>
      <c r="D26" s="49"/>
      <c r="E26" s="49"/>
      <c r="F26" s="49"/>
      <c r="G26" s="1"/>
    </row>
    <row r="27" spans="1:7" x14ac:dyDescent="0.25">
      <c r="A27" s="1"/>
      <c r="B27" s="177"/>
      <c r="C27" s="177"/>
      <c r="D27" s="177"/>
      <c r="E27" s="177"/>
      <c r="F27" s="177"/>
      <c r="G27" s="1"/>
    </row>
    <row r="28" spans="1:7" x14ac:dyDescent="0.25">
      <c r="A28" s="1"/>
      <c r="B28" s="50"/>
      <c r="C28" s="50"/>
      <c r="D28" s="50"/>
      <c r="E28" s="50"/>
      <c r="F28" s="51"/>
      <c r="G28" s="1"/>
    </row>
    <row r="29" spans="1:7" x14ac:dyDescent="0.25">
      <c r="A29" s="1"/>
      <c r="B29" s="52"/>
      <c r="C29" s="53"/>
      <c r="D29" s="54"/>
      <c r="E29" s="53"/>
      <c r="F29" s="54"/>
      <c r="G29" s="1"/>
    </row>
    <row r="30" spans="1:7" x14ac:dyDescent="0.25">
      <c r="A30" s="1"/>
      <c r="B30" s="52"/>
      <c r="C30" s="53"/>
      <c r="D30" s="54"/>
      <c r="E30" s="53"/>
      <c r="F30" s="54"/>
      <c r="G30" s="1"/>
    </row>
    <row r="31" spans="1:7" x14ac:dyDescent="0.25">
      <c r="A31" s="1"/>
      <c r="B31" s="31"/>
      <c r="C31" s="55"/>
      <c r="D31" s="56"/>
      <c r="E31" s="55"/>
      <c r="F31" s="56"/>
      <c r="G31" s="1"/>
    </row>
    <row r="32" spans="1:7" x14ac:dyDescent="0.25">
      <c r="A32" s="1"/>
      <c r="B32" s="31"/>
      <c r="C32" s="55"/>
      <c r="D32" s="56"/>
      <c r="E32" s="55"/>
      <c r="F32" s="56"/>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sheetData>
  <sheetProtection algorithmName="SHA-512" hashValue="17QujgWpkbhUFMUr1nrFOAax0wFLzDYjEImPrTexLFXzZdu7JU+A3KWExyzOdcP04eg2ewmHXZdtSPSHAulZUQ==" saltValue="dKqvj8m+Yr+1gsO0+rSKWg==" spinCount="100000" sheet="1" objects="1" scenarios="1"/>
  <mergeCells count="3">
    <mergeCell ref="B27:F27"/>
    <mergeCell ref="B3:F4"/>
    <mergeCell ref="B20:F20"/>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50"/>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6.28515625" style="2" customWidth="1"/>
    <col min="4" max="4" width="3.28515625" style="2" customWidth="1"/>
    <col min="5" max="5" width="19"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40" t="s">
        <v>259</v>
      </c>
      <c r="C3" s="140"/>
      <c r="D3" s="140"/>
      <c r="E3" s="140"/>
      <c r="F3" s="140"/>
      <c r="G3" s="1"/>
    </row>
    <row r="4" spans="1:7" ht="15" customHeight="1" x14ac:dyDescent="0.25">
      <c r="A4" s="1"/>
      <c r="B4" s="140"/>
      <c r="C4" s="140"/>
      <c r="D4" s="140"/>
      <c r="E4" s="140"/>
      <c r="F4" s="140"/>
      <c r="G4" s="1"/>
    </row>
    <row r="5" spans="1:7" x14ac:dyDescent="0.25">
      <c r="A5" s="1"/>
      <c r="B5" s="140"/>
      <c r="C5" s="140"/>
      <c r="D5" s="140"/>
      <c r="E5" s="140"/>
      <c r="F5" s="140"/>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50" t="s">
        <v>79</v>
      </c>
      <c r="C9" s="151"/>
      <c r="D9" s="151"/>
      <c r="E9" s="151"/>
      <c r="F9" s="153"/>
      <c r="G9" s="1"/>
    </row>
    <row r="10" spans="1:7" x14ac:dyDescent="0.25">
      <c r="A10" s="1"/>
      <c r="B10" s="171" t="s">
        <v>239</v>
      </c>
      <c r="C10" s="172"/>
      <c r="D10" s="173"/>
      <c r="E10" s="9">
        <v>0</v>
      </c>
      <c r="F10" s="14" t="s">
        <v>3</v>
      </c>
      <c r="G10" s="1"/>
    </row>
    <row r="11" spans="1:7" x14ac:dyDescent="0.25">
      <c r="A11" s="1"/>
      <c r="B11" s="137" t="s">
        <v>10</v>
      </c>
      <c r="C11" s="138"/>
      <c r="D11" s="139"/>
      <c r="E11" s="9">
        <f>-E10*'Fane 5. Individuelt eff. krav'!G9</f>
        <v>0</v>
      </c>
      <c r="F11" s="14" t="s">
        <v>3</v>
      </c>
      <c r="G11" s="1"/>
    </row>
    <row r="12" spans="1:7" x14ac:dyDescent="0.25">
      <c r="A12" s="1"/>
      <c r="B12" s="137" t="s">
        <v>25</v>
      </c>
      <c r="C12" s="138"/>
      <c r="D12" s="139"/>
      <c r="E12" s="9">
        <f>-E10*'Fane 15. Nøgletal'!C31</f>
        <v>0</v>
      </c>
      <c r="F12" s="14" t="s">
        <v>3</v>
      </c>
      <c r="G12" s="1"/>
    </row>
    <row r="13" spans="1:7" x14ac:dyDescent="0.25">
      <c r="A13" s="1"/>
      <c r="B13" s="150" t="s">
        <v>80</v>
      </c>
      <c r="C13" s="151"/>
      <c r="D13" s="153"/>
      <c r="E13" s="12">
        <f>SUM(E10:E12)*(1+'Fane 15. Nøgletal'!C15)^2</f>
        <v>0</v>
      </c>
      <c r="F13" s="13" t="s">
        <v>3</v>
      </c>
      <c r="G13" s="1"/>
    </row>
    <row r="14" spans="1:7" x14ac:dyDescent="0.25">
      <c r="A14" s="1"/>
      <c r="B14" s="1"/>
      <c r="C14" s="1"/>
      <c r="D14" s="1"/>
      <c r="E14" s="1"/>
      <c r="F14" s="1"/>
      <c r="G14" s="1"/>
    </row>
    <row r="15" spans="1:7" x14ac:dyDescent="0.25">
      <c r="A15" s="1"/>
      <c r="B15" s="150" t="s">
        <v>117</v>
      </c>
      <c r="C15" s="151"/>
      <c r="D15" s="151"/>
      <c r="E15" s="151"/>
      <c r="F15" s="153"/>
      <c r="G15" s="1"/>
    </row>
    <row r="16" spans="1:7" x14ac:dyDescent="0.25">
      <c r="A16" s="1"/>
      <c r="B16" s="171" t="s">
        <v>239</v>
      </c>
      <c r="C16" s="172"/>
      <c r="D16" s="173"/>
      <c r="E16" s="9">
        <v>0</v>
      </c>
      <c r="F16" s="14" t="s">
        <v>3</v>
      </c>
      <c r="G16" s="1"/>
    </row>
    <row r="17" spans="1:7" x14ac:dyDescent="0.25">
      <c r="A17" s="1"/>
      <c r="B17" s="137" t="s">
        <v>10</v>
      </c>
      <c r="C17" s="138"/>
      <c r="D17" s="139"/>
      <c r="E17" s="9">
        <f>-E16*'Fane 5. Individuelt eff. krav'!G9</f>
        <v>0</v>
      </c>
      <c r="F17" s="14" t="s">
        <v>3</v>
      </c>
      <c r="G17" s="1"/>
    </row>
    <row r="18" spans="1:7" x14ac:dyDescent="0.25">
      <c r="A18" s="1"/>
      <c r="B18" s="137" t="s">
        <v>25</v>
      </c>
      <c r="C18" s="138"/>
      <c r="D18" s="139"/>
      <c r="E18" s="9">
        <f>-E16*'Fane 15. Nøgletal'!C31</f>
        <v>0</v>
      </c>
      <c r="F18" s="14" t="s">
        <v>3</v>
      </c>
      <c r="G18" s="1"/>
    </row>
    <row r="19" spans="1:7" x14ac:dyDescent="0.25">
      <c r="A19" s="1"/>
      <c r="B19" s="150" t="s">
        <v>118</v>
      </c>
      <c r="C19" s="151"/>
      <c r="D19" s="153"/>
      <c r="E19" s="12">
        <f>SUM(E16:E18)*(1+'Fane 15. Nøgletal'!C15)^3</f>
        <v>0</v>
      </c>
      <c r="F19" s="13" t="s">
        <v>3</v>
      </c>
      <c r="G19" s="1"/>
    </row>
    <row r="20" spans="1:7" x14ac:dyDescent="0.25">
      <c r="A20" s="1"/>
      <c r="B20" s="1"/>
      <c r="C20" s="1"/>
      <c r="D20" s="1"/>
      <c r="E20" s="1"/>
      <c r="F20" s="1"/>
      <c r="G20" s="1"/>
    </row>
    <row r="21" spans="1:7" x14ac:dyDescent="0.25">
      <c r="A21" s="1"/>
      <c r="B21" s="150" t="s">
        <v>146</v>
      </c>
      <c r="C21" s="151"/>
      <c r="D21" s="151"/>
      <c r="E21" s="151"/>
      <c r="F21" s="153"/>
      <c r="G21" s="1"/>
    </row>
    <row r="22" spans="1:7" x14ac:dyDescent="0.25">
      <c r="A22" s="1"/>
      <c r="B22" s="171" t="s">
        <v>239</v>
      </c>
      <c r="C22" s="172"/>
      <c r="D22" s="173"/>
      <c r="E22" s="9">
        <v>0</v>
      </c>
      <c r="F22" s="14" t="s">
        <v>3</v>
      </c>
      <c r="G22" s="1"/>
    </row>
    <row r="23" spans="1:7" x14ac:dyDescent="0.25">
      <c r="A23" s="1"/>
      <c r="B23" s="137" t="s">
        <v>10</v>
      </c>
      <c r="C23" s="138"/>
      <c r="D23" s="139"/>
      <c r="E23" s="9">
        <f>-E22*'Fane 5. Individuelt eff. krav'!G9</f>
        <v>0</v>
      </c>
      <c r="F23" s="14" t="s">
        <v>3</v>
      </c>
      <c r="G23" s="1"/>
    </row>
    <row r="24" spans="1:7" x14ac:dyDescent="0.25">
      <c r="A24" s="1"/>
      <c r="B24" s="137" t="s">
        <v>25</v>
      </c>
      <c r="C24" s="138"/>
      <c r="D24" s="139"/>
      <c r="E24" s="9">
        <f>-E22*'Fane 15. Nøgletal'!C31</f>
        <v>0</v>
      </c>
      <c r="F24" s="14" t="s">
        <v>3</v>
      </c>
      <c r="G24" s="1"/>
    </row>
    <row r="25" spans="1:7" x14ac:dyDescent="0.25">
      <c r="A25" s="1"/>
      <c r="B25" s="150" t="s">
        <v>147</v>
      </c>
      <c r="C25" s="151"/>
      <c r="D25" s="153"/>
      <c r="E25" s="12">
        <f>SUM(E22:E24)*(1+'Fane 15. Nøgletal'!C15)^4</f>
        <v>0</v>
      </c>
      <c r="F25" s="13" t="s">
        <v>3</v>
      </c>
      <c r="G25" s="1"/>
    </row>
    <row r="26" spans="1:7" x14ac:dyDescent="0.25">
      <c r="A26" s="1"/>
      <c r="B26" s="1"/>
      <c r="C26" s="1"/>
      <c r="D26" s="1"/>
      <c r="E26" s="1"/>
      <c r="F26" s="1"/>
      <c r="G26" s="1"/>
    </row>
    <row r="27" spans="1:7" x14ac:dyDescent="0.25">
      <c r="A27" s="1"/>
      <c r="B27" s="150" t="s">
        <v>224</v>
      </c>
      <c r="C27" s="151"/>
      <c r="D27" s="151"/>
      <c r="E27" s="151"/>
      <c r="F27" s="153"/>
      <c r="G27" s="1"/>
    </row>
    <row r="28" spans="1:7" x14ac:dyDescent="0.25">
      <c r="A28" s="1"/>
      <c r="B28" s="171" t="s">
        <v>239</v>
      </c>
      <c r="C28" s="172"/>
      <c r="D28" s="173"/>
      <c r="E28" s="9">
        <v>0</v>
      </c>
      <c r="F28" s="14" t="s">
        <v>3</v>
      </c>
      <c r="G28" s="1"/>
    </row>
    <row r="29" spans="1:7" x14ac:dyDescent="0.25">
      <c r="A29" s="1"/>
      <c r="B29" s="137" t="s">
        <v>10</v>
      </c>
      <c r="C29" s="138"/>
      <c r="D29" s="139"/>
      <c r="E29" s="9">
        <f>-E28*'Fane 5. Individuelt eff. krav'!G9</f>
        <v>0</v>
      </c>
      <c r="F29" s="14" t="s">
        <v>3</v>
      </c>
      <c r="G29" s="1"/>
    </row>
    <row r="30" spans="1:7" x14ac:dyDescent="0.25">
      <c r="A30" s="1"/>
      <c r="B30" s="137" t="s">
        <v>25</v>
      </c>
      <c r="C30" s="138"/>
      <c r="D30" s="139"/>
      <c r="E30" s="9">
        <f>-E28*'Fane 15. Nøgletal'!C31</f>
        <v>0</v>
      </c>
      <c r="F30" s="14" t="s">
        <v>3</v>
      </c>
      <c r="G30" s="1"/>
    </row>
    <row r="31" spans="1:7" x14ac:dyDescent="0.25">
      <c r="A31" s="1"/>
      <c r="B31" s="150" t="s">
        <v>225</v>
      </c>
      <c r="C31" s="151"/>
      <c r="D31" s="153"/>
      <c r="E31" s="12">
        <f>SUM(E28:E30)*(1+'Fane 15. Nøgletal'!C15)^5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43"/>
      <c r="B45" s="43"/>
      <c r="C45" s="43"/>
      <c r="D45" s="43"/>
      <c r="E45" s="43"/>
      <c r="F45" s="43"/>
      <c r="G45" s="43"/>
    </row>
    <row r="46" spans="1:7" x14ac:dyDescent="0.25">
      <c r="A46" s="43"/>
      <c r="B46" s="43"/>
      <c r="C46" s="43"/>
      <c r="D46" s="43"/>
      <c r="E46" s="43"/>
      <c r="F46" s="43"/>
      <c r="G46" s="43"/>
    </row>
    <row r="47" spans="1:7" x14ac:dyDescent="0.25">
      <c r="A47" s="43"/>
      <c r="B47" s="43"/>
      <c r="C47" s="43"/>
      <c r="D47" s="43"/>
      <c r="E47" s="43"/>
      <c r="F47" s="43"/>
      <c r="G47" s="43"/>
    </row>
    <row r="48" spans="1:7" x14ac:dyDescent="0.25">
      <c r="A48" s="43"/>
      <c r="B48" s="43"/>
      <c r="C48" s="43"/>
      <c r="D48" s="43"/>
      <c r="E48" s="43"/>
      <c r="F48" s="43"/>
      <c r="G48" s="43"/>
    </row>
    <row r="49" spans="1:7" x14ac:dyDescent="0.25">
      <c r="A49" s="43"/>
      <c r="B49" s="43"/>
      <c r="C49" s="43"/>
      <c r="D49" s="43"/>
      <c r="E49" s="43"/>
      <c r="F49" s="43"/>
      <c r="G49" s="43"/>
    </row>
    <row r="50" spans="1:7" x14ac:dyDescent="0.25">
      <c r="A50" s="43"/>
      <c r="B50" s="43"/>
      <c r="C50" s="43"/>
      <c r="D50" s="43"/>
      <c r="E50" s="43"/>
      <c r="F50" s="43"/>
      <c r="G50" s="43"/>
    </row>
  </sheetData>
  <sheetProtection algorithmName="SHA-512" hashValue="gEWTsLTsV9DkaunyHJ4heWudCv+Um/snSgG/QPFv+7+4gHOjOyjMn45vnHh/sD6lNzJFb9GmUYvzOFq0hQUjlA==" saltValue="pM7kiOEV4beRaasTdzrruw==" spinCount="100000" sheet="1" objects="1" scenarios="1"/>
  <mergeCells count="21">
    <mergeCell ref="B27:F27"/>
    <mergeCell ref="B28:D28"/>
    <mergeCell ref="B29:D29"/>
    <mergeCell ref="B30:D30"/>
    <mergeCell ref="B31:D31"/>
    <mergeCell ref="B3:F5"/>
    <mergeCell ref="B25:D25"/>
    <mergeCell ref="B21:F21"/>
    <mergeCell ref="B22:D22"/>
    <mergeCell ref="B19:D19"/>
    <mergeCell ref="B16:D16"/>
    <mergeCell ref="B17:D17"/>
    <mergeCell ref="B18:D18"/>
    <mergeCell ref="B23:D23"/>
    <mergeCell ref="B24:D24"/>
    <mergeCell ref="B13:D13"/>
    <mergeCell ref="B15:F15"/>
    <mergeCell ref="B9:F9"/>
    <mergeCell ref="B10:D10"/>
    <mergeCell ref="B11:D11"/>
    <mergeCell ref="B12:D1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 defaultRowHeight="15" x14ac:dyDescent="0.25"/>
  <cols>
    <col min="1" max="1" width="5.28515625" style="2" customWidth="1"/>
    <col min="2" max="2" width="41" style="2" bestFit="1" customWidth="1"/>
    <col min="3" max="3" width="14" style="2" customWidth="1"/>
    <col min="4" max="4" width="3.28515625" style="2" customWidth="1"/>
    <col min="5" max="5" width="14" style="2" customWidth="1"/>
    <col min="6" max="6" width="3.28515625" style="2" customWidth="1"/>
    <col min="7" max="7" width="5.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40" t="s">
        <v>260</v>
      </c>
      <c r="C3" s="140"/>
      <c r="D3" s="140"/>
      <c r="E3" s="140"/>
      <c r="F3" s="140"/>
      <c r="G3" s="1"/>
    </row>
    <row r="4" spans="1:7" ht="25.5" customHeight="1" x14ac:dyDescent="0.25">
      <c r="A4" s="1"/>
      <c r="B4" s="140"/>
      <c r="C4" s="140"/>
      <c r="D4" s="140"/>
      <c r="E4" s="140"/>
      <c r="F4" s="14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50" t="s">
        <v>119</v>
      </c>
      <c r="C8" s="151"/>
      <c r="D8" s="151"/>
      <c r="E8" s="151"/>
      <c r="F8" s="153"/>
      <c r="G8" s="1"/>
    </row>
    <row r="9" spans="1:7" ht="15" customHeight="1" x14ac:dyDescent="0.25">
      <c r="A9" s="1"/>
      <c r="B9" s="97" t="s">
        <v>120</v>
      </c>
      <c r="C9" s="125" t="s">
        <v>11</v>
      </c>
      <c r="D9" s="127"/>
      <c r="E9" s="178" t="s">
        <v>31</v>
      </c>
      <c r="F9" s="179"/>
      <c r="G9" s="1"/>
    </row>
    <row r="10" spans="1:7" x14ac:dyDescent="0.25">
      <c r="A10" s="1"/>
      <c r="B10" s="25" t="s">
        <v>287</v>
      </c>
      <c r="C10" s="9">
        <v>0</v>
      </c>
      <c r="D10" s="14" t="s">
        <v>3</v>
      </c>
      <c r="E10" s="9">
        <v>0</v>
      </c>
      <c r="F10" s="14" t="s">
        <v>3</v>
      </c>
      <c r="G10" s="1"/>
    </row>
    <row r="11" spans="1:7" ht="28.5" customHeight="1" x14ac:dyDescent="0.25">
      <c r="A11" s="1"/>
      <c r="B11" s="21" t="s">
        <v>148</v>
      </c>
      <c r="C11" s="12">
        <f>SUM(C10:C10)</f>
        <v>0</v>
      </c>
      <c r="D11" s="13" t="s">
        <v>3</v>
      </c>
      <c r="E11" s="12">
        <f>SUM(E10:E10)</f>
        <v>0</v>
      </c>
      <c r="F11" s="13" t="s">
        <v>3</v>
      </c>
      <c r="G11" s="1"/>
    </row>
    <row r="12" spans="1:7" ht="27" customHeight="1" x14ac:dyDescent="0.25">
      <c r="A12" s="1"/>
      <c r="B12" s="21" t="s">
        <v>226</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GXmSCZGScWXaHpaGReaw+6vij3C6JMiwgStYRFeyyO4NYCj/7BE+SmWWic3zog7L43CcvXjpbNJC84uTHSHmpg==" saltValue="t0MDrJq2qzl39u0LNxGehA=="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 defaultRowHeight="15" x14ac:dyDescent="0.25"/>
  <cols>
    <col min="1" max="1" width="5" style="2" customWidth="1"/>
    <col min="2" max="2" width="39.42578125" style="2" customWidth="1"/>
    <col min="3" max="3" width="15.7109375" style="2" customWidth="1"/>
    <col min="4" max="4" width="3.28515625" style="2" customWidth="1"/>
    <col min="5" max="5" width="12"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40" t="s">
        <v>261</v>
      </c>
      <c r="C3" s="140"/>
      <c r="D3" s="140"/>
      <c r="E3" s="140"/>
      <c r="F3" s="140"/>
      <c r="G3" s="1"/>
    </row>
    <row r="4" spans="1:7" ht="25.5" customHeight="1" x14ac:dyDescent="0.25">
      <c r="A4" s="1"/>
      <c r="B4" s="140"/>
      <c r="C4" s="140"/>
      <c r="D4" s="140"/>
      <c r="E4" s="140"/>
      <c r="F4" s="14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50" t="s">
        <v>81</v>
      </c>
      <c r="C9" s="151"/>
      <c r="D9" s="151"/>
      <c r="E9" s="151"/>
      <c r="F9" s="153"/>
      <c r="G9" s="1"/>
    </row>
    <row r="10" spans="1:7" ht="26.25" x14ac:dyDescent="0.25">
      <c r="A10" s="1"/>
      <c r="B10" s="97" t="s">
        <v>18</v>
      </c>
      <c r="C10" s="97" t="s">
        <v>11</v>
      </c>
      <c r="D10" s="98"/>
      <c r="E10" s="97" t="s">
        <v>31</v>
      </c>
      <c r="F10" s="98"/>
      <c r="G10" s="1"/>
    </row>
    <row r="11" spans="1:7" x14ac:dyDescent="0.25">
      <c r="A11" s="1"/>
      <c r="B11" s="25" t="s">
        <v>182</v>
      </c>
      <c r="C11" s="9">
        <v>0</v>
      </c>
      <c r="D11" s="14" t="s">
        <v>3</v>
      </c>
      <c r="E11" s="9">
        <v>0</v>
      </c>
      <c r="F11" s="14" t="s">
        <v>3</v>
      </c>
      <c r="G11" s="1"/>
    </row>
    <row r="12" spans="1:7" x14ac:dyDescent="0.25">
      <c r="A12" s="1"/>
      <c r="B12" s="32" t="s">
        <v>233</v>
      </c>
      <c r="C12" s="12">
        <f>SUM(C11:C11)</f>
        <v>0</v>
      </c>
      <c r="D12" s="13" t="s">
        <v>3</v>
      </c>
      <c r="E12" s="12">
        <f>SUM(E11:E11)</f>
        <v>0</v>
      </c>
      <c r="F12" s="13" t="s">
        <v>3</v>
      </c>
      <c r="G12" s="1"/>
    </row>
    <row r="13" spans="1:7" x14ac:dyDescent="0.25">
      <c r="A13" s="1"/>
      <c r="B13" s="32" t="s">
        <v>77</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77"/>
      <c r="C15" s="177"/>
      <c r="D15" s="177"/>
      <c r="E15" s="177"/>
      <c r="F15" s="177"/>
      <c r="G15" s="1"/>
    </row>
    <row r="16" spans="1:7" x14ac:dyDescent="0.25">
      <c r="A16" s="1"/>
      <c r="B16" s="51"/>
      <c r="C16" s="51"/>
      <c r="D16" s="51"/>
      <c r="E16" s="51"/>
      <c r="F16" s="51"/>
      <c r="G16" s="1"/>
    </row>
    <row r="17" spans="1:7" x14ac:dyDescent="0.25">
      <c r="A17" s="1"/>
      <c r="B17" s="52"/>
      <c r="C17" s="57"/>
      <c r="D17" s="54"/>
      <c r="E17" s="57"/>
      <c r="F17" s="54"/>
      <c r="G17" s="1"/>
    </row>
    <row r="18" spans="1:7" x14ac:dyDescent="0.25">
      <c r="A18" s="1"/>
      <c r="B18" s="31"/>
      <c r="C18" s="55"/>
      <c r="D18" s="56"/>
      <c r="E18" s="55"/>
      <c r="F18" s="56"/>
      <c r="G18" s="1"/>
    </row>
    <row r="19" spans="1:7" x14ac:dyDescent="0.25">
      <c r="A19" s="1"/>
      <c r="B19" s="31"/>
      <c r="C19" s="55"/>
      <c r="D19" s="56"/>
      <c r="E19" s="55"/>
      <c r="F19" s="56"/>
      <c r="G19" s="1"/>
    </row>
    <row r="20" spans="1:7" x14ac:dyDescent="0.25">
      <c r="A20" s="1"/>
      <c r="B20" s="49"/>
      <c r="C20" s="49"/>
      <c r="D20" s="49"/>
      <c r="E20" s="49"/>
      <c r="F20" s="49"/>
      <c r="G20" s="1"/>
    </row>
    <row r="21" spans="1:7" x14ac:dyDescent="0.25">
      <c r="A21" s="1"/>
      <c r="B21" s="177"/>
      <c r="C21" s="177"/>
      <c r="D21" s="177"/>
      <c r="E21" s="177"/>
      <c r="F21" s="177"/>
      <c r="G21" s="1"/>
    </row>
    <row r="22" spans="1:7" x14ac:dyDescent="0.25">
      <c r="A22" s="1"/>
      <c r="B22" s="51"/>
      <c r="C22" s="51"/>
      <c r="D22" s="51"/>
      <c r="E22" s="51"/>
      <c r="F22" s="51"/>
      <c r="G22" s="1"/>
    </row>
    <row r="23" spans="1:7" x14ac:dyDescent="0.25">
      <c r="A23" s="1"/>
      <c r="B23" s="52"/>
      <c r="C23" s="57"/>
      <c r="D23" s="54"/>
      <c r="E23" s="57"/>
      <c r="F23" s="54"/>
      <c r="G23" s="1"/>
    </row>
    <row r="24" spans="1:7" x14ac:dyDescent="0.25">
      <c r="A24" s="1"/>
      <c r="B24" s="31"/>
      <c r="C24" s="55"/>
      <c r="D24" s="56"/>
      <c r="E24" s="55"/>
      <c r="F24" s="56"/>
      <c r="G24" s="1"/>
    </row>
    <row r="25" spans="1:7" x14ac:dyDescent="0.25">
      <c r="A25" s="1"/>
      <c r="B25" s="31"/>
      <c r="C25" s="55"/>
      <c r="D25" s="56"/>
      <c r="E25" s="55"/>
      <c r="F25" s="56"/>
      <c r="G25" s="1"/>
    </row>
    <row r="26" spans="1:7" x14ac:dyDescent="0.25">
      <c r="A26" s="1"/>
      <c r="B26" s="49"/>
      <c r="C26" s="49"/>
      <c r="D26" s="49"/>
      <c r="E26" s="49"/>
      <c r="F26" s="49"/>
      <c r="G26" s="1"/>
    </row>
    <row r="27" spans="1:7" x14ac:dyDescent="0.25">
      <c r="A27" s="1"/>
      <c r="B27" s="177"/>
      <c r="C27" s="177"/>
      <c r="D27" s="177"/>
      <c r="E27" s="177"/>
      <c r="F27" s="177"/>
      <c r="G27" s="1"/>
    </row>
    <row r="28" spans="1:7" x14ac:dyDescent="0.25">
      <c r="A28" s="1"/>
      <c r="B28" s="51"/>
      <c r="C28" s="51"/>
      <c r="D28" s="51"/>
      <c r="E28" s="51"/>
      <c r="F28" s="51"/>
      <c r="G28" s="1"/>
    </row>
    <row r="29" spans="1:7" x14ac:dyDescent="0.25">
      <c r="A29" s="1"/>
      <c r="B29" s="52"/>
      <c r="C29" s="57"/>
      <c r="D29" s="54"/>
      <c r="E29" s="57"/>
      <c r="F29" s="54"/>
      <c r="G29" s="1"/>
    </row>
    <row r="30" spans="1:7" x14ac:dyDescent="0.25">
      <c r="A30" s="1"/>
      <c r="B30" s="31"/>
      <c r="C30" s="55"/>
      <c r="D30" s="56"/>
      <c r="E30" s="55"/>
      <c r="F30" s="56"/>
      <c r="G30" s="1"/>
    </row>
    <row r="31" spans="1:7" x14ac:dyDescent="0.25">
      <c r="A31" s="1"/>
      <c r="B31" s="31"/>
      <c r="C31" s="55"/>
      <c r="D31" s="56"/>
      <c r="E31" s="55"/>
      <c r="F31" s="56"/>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bzqQhDo9UAja8+2UnBxW2QESKFtZMJfFv56NkpSVXq9wejo4al7hqHR0gbkcRdQ3enKt7FY1KCmxd7c7l0yQpQ==" saltValue="+yrLZmBiPP1raFDZbilEMA=="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50"/>
  <sheetViews>
    <sheetView showGridLines="0" view="pageLayout" zoomScale="89" zoomScaleNormal="100" zoomScalePageLayoutView="89" workbookViewId="0"/>
  </sheetViews>
  <sheetFormatPr defaultColWidth="9" defaultRowHeight="15" x14ac:dyDescent="0.25"/>
  <cols>
    <col min="1" max="1" width="6.5703125" style="2" customWidth="1"/>
    <col min="2" max="2" width="53.42578125" style="2" customWidth="1"/>
    <col min="3" max="3" width="12.7109375" style="2" customWidth="1"/>
    <col min="4" max="4" width="3.7109375" style="2" customWidth="1"/>
    <col min="5" max="5" width="10.5703125" style="2" bestFit="1"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7" t="s">
        <v>194</v>
      </c>
      <c r="C3" s="117"/>
      <c r="D3" s="117"/>
      <c r="E3" s="1"/>
    </row>
    <row r="4" spans="1:5" ht="15" customHeight="1" x14ac:dyDescent="0.25">
      <c r="A4" s="1"/>
      <c r="B4" s="117"/>
      <c r="C4" s="117"/>
      <c r="D4" s="117"/>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2" t="s">
        <v>13</v>
      </c>
      <c r="C8" s="33"/>
      <c r="D8" s="20"/>
      <c r="E8" s="1"/>
    </row>
    <row r="9" spans="1:5" x14ac:dyDescent="0.25">
      <c r="A9" s="1"/>
      <c r="B9" s="86" t="s">
        <v>93</v>
      </c>
      <c r="C9" s="7">
        <f>'Fane 3. Omkostninger i ØR2022'!E20</f>
        <v>148636686.01106066</v>
      </c>
      <c r="D9" s="8" t="s">
        <v>3</v>
      </c>
      <c r="E9" s="1"/>
    </row>
    <row r="10" spans="1:5" x14ac:dyDescent="0.25">
      <c r="A10" s="1"/>
      <c r="B10" s="80" t="s">
        <v>235</v>
      </c>
      <c r="C10" s="7">
        <f>('Fane 3. Omkostninger i ØR2022'!E10+'Fane 3. Omkostninger i ØR2022'!E14)*(1+'Fane 15. Nøgletal'!C14)*(1-'Fane 15. Nøgletal'!C31-'Fane 5. Individuelt eff. krav'!G9)</f>
        <v>94144.35543391807</v>
      </c>
      <c r="D10" s="8" t="s">
        <v>3</v>
      </c>
      <c r="E10" s="1"/>
    </row>
    <row r="11" spans="1:5" x14ac:dyDescent="0.25">
      <c r="A11" s="1"/>
      <c r="B11" s="80" t="s">
        <v>236</v>
      </c>
      <c r="C11" s="7">
        <f>('Fane 3. Omkostninger i ØR2022'!E11+'Fane 3. Omkostninger i ØR2022'!E15)*(1+'Fane 15. Nøgletal'!C14)*(1-'Fane 15. Nøgletal'!C25-'Fane 5. Individuelt eff. krav'!G9)</f>
        <v>741493.11627792695</v>
      </c>
      <c r="D11" s="8" t="s">
        <v>3</v>
      </c>
      <c r="E11" s="1"/>
    </row>
    <row r="12" spans="1:5" ht="17.25" customHeight="1" x14ac:dyDescent="0.25">
      <c r="A12" s="1"/>
      <c r="B12" s="84" t="s">
        <v>39</v>
      </c>
      <c r="C12" s="40">
        <f>'Fane 11.1. Varige tillæg'!C16</f>
        <v>116595.28360800001</v>
      </c>
      <c r="D12" s="8" t="s">
        <v>3</v>
      </c>
      <c r="E12" s="1"/>
    </row>
    <row r="13" spans="1:5" ht="17.25" customHeight="1" x14ac:dyDescent="0.25">
      <c r="A13" s="1"/>
      <c r="B13" s="84" t="s">
        <v>40</v>
      </c>
      <c r="C13" s="40">
        <f>'Fane 11.1. Varige tillæg'!E16</f>
        <v>3337335.9800789999</v>
      </c>
      <c r="D13" s="8" t="s">
        <v>3</v>
      </c>
      <c r="E13" s="1"/>
    </row>
    <row r="14" spans="1:5" ht="17.25" customHeight="1" x14ac:dyDescent="0.25">
      <c r="A14" s="1"/>
      <c r="B14" s="84" t="s">
        <v>28</v>
      </c>
      <c r="C14" s="9">
        <f>-'Fane 14. Bortfald'!C13</f>
        <v>0</v>
      </c>
      <c r="D14" s="8" t="s">
        <v>3</v>
      </c>
      <c r="E14" s="1"/>
    </row>
    <row r="15" spans="1:5" ht="17.25" customHeight="1" x14ac:dyDescent="0.25">
      <c r="A15" s="1"/>
      <c r="B15" s="84" t="s">
        <v>27</v>
      </c>
      <c r="C15" s="9">
        <f>-'Fane 14. Bortfald'!E13</f>
        <v>0</v>
      </c>
      <c r="D15" s="8" t="s">
        <v>3</v>
      </c>
      <c r="E15" s="1"/>
    </row>
    <row r="16" spans="1:5" ht="17.25" customHeight="1" x14ac:dyDescent="0.25">
      <c r="A16" s="1"/>
      <c r="B16" s="84" t="s">
        <v>113</v>
      </c>
      <c r="C16" s="9">
        <f>'Fane 13. Tilknyttet virksomhed'!C12</f>
        <v>0</v>
      </c>
      <c r="D16" s="8" t="s">
        <v>3</v>
      </c>
      <c r="E16" s="1"/>
    </row>
    <row r="17" spans="1:5" ht="17.25" customHeight="1" x14ac:dyDescent="0.25">
      <c r="A17" s="1"/>
      <c r="B17" s="84" t="s">
        <v>114</v>
      </c>
      <c r="C17" s="9">
        <f>'Fane 13. Tilknyttet virksomhed'!E12</f>
        <v>0</v>
      </c>
      <c r="D17" s="8" t="s">
        <v>3</v>
      </c>
      <c r="E17" s="1"/>
    </row>
    <row r="18" spans="1:5" ht="17.25" customHeight="1" x14ac:dyDescent="0.25">
      <c r="A18" s="1"/>
      <c r="B18" s="84" t="s">
        <v>19</v>
      </c>
      <c r="C18" s="9">
        <f>SUM(C9)*'Fane 15. Nøgletal'!C14+SUM(C12:C17)*'Fane 15. Nøgletal'!C15</f>
        <v>613461.01682375732</v>
      </c>
      <c r="D18" s="8" t="s">
        <v>3</v>
      </c>
      <c r="E18" s="1"/>
    </row>
    <row r="19" spans="1:5" ht="17.25" customHeight="1" x14ac:dyDescent="0.25">
      <c r="A19" s="1"/>
      <c r="B19" s="84" t="s">
        <v>10</v>
      </c>
      <c r="C19" s="9">
        <f>-SUM(C9,C12:C18)*'Fane 5. Individuelt eff. krav'!G9</f>
        <v>-1023560.2085134194</v>
      </c>
      <c r="D19" s="8" t="s">
        <v>3</v>
      </c>
      <c r="E19" s="1"/>
    </row>
    <row r="20" spans="1:5" ht="17.25" customHeight="1" x14ac:dyDescent="0.25">
      <c r="A20" s="1"/>
      <c r="B20" s="84" t="s">
        <v>25</v>
      </c>
      <c r="C20" s="9">
        <f>-'Fane 4.1. Gen. krav - drift'!G48</f>
        <v>-867531.22892940347</v>
      </c>
      <c r="D20" s="8" t="s">
        <v>3</v>
      </c>
      <c r="E20" s="42"/>
    </row>
    <row r="21" spans="1:5" ht="15" customHeight="1" x14ac:dyDescent="0.25">
      <c r="A21" s="1"/>
      <c r="B21" s="84" t="s">
        <v>26</v>
      </c>
      <c r="C21" s="9">
        <f>-'Fane 4.2. Gen. krav - anlæg'!G47</f>
        <v>-1589876.1962305543</v>
      </c>
      <c r="D21" s="8" t="s">
        <v>3</v>
      </c>
      <c r="E21" s="1"/>
    </row>
    <row r="22" spans="1:5" ht="15" customHeight="1" x14ac:dyDescent="0.25">
      <c r="A22" s="1"/>
      <c r="B22" s="81" t="s">
        <v>21</v>
      </c>
      <c r="C22" s="10">
        <f>SUM(C9,C12:C21)</f>
        <v>149223110.65789804</v>
      </c>
      <c r="D22" s="11" t="s">
        <v>3</v>
      </c>
      <c r="E22" s="1"/>
    </row>
    <row r="23" spans="1:5" ht="15" customHeight="1" x14ac:dyDescent="0.25">
      <c r="A23" s="1"/>
      <c r="B23" s="32" t="s">
        <v>12</v>
      </c>
      <c r="C23" s="33"/>
      <c r="D23" s="20"/>
      <c r="E23" s="1"/>
    </row>
    <row r="24" spans="1:5" ht="15" customHeight="1" x14ac:dyDescent="0.25">
      <c r="A24" s="1"/>
      <c r="B24" s="97" t="s">
        <v>12</v>
      </c>
      <c r="C24" s="10">
        <f>'Fane 6. Ikke-påvirkelige omk.'!C16+'Fane 6. Ikke-påvirkelige omk.'!C20+'Fane 6. Ikke-påvirkelige omk.'!C28</f>
        <v>5309027.0965287797</v>
      </c>
      <c r="D24" s="11" t="s">
        <v>3</v>
      </c>
      <c r="E24" s="1"/>
    </row>
    <row r="25" spans="1:5" ht="15" customHeight="1" x14ac:dyDescent="0.25">
      <c r="A25" s="1"/>
      <c r="B25" s="32" t="s">
        <v>74</v>
      </c>
      <c r="C25" s="33"/>
      <c r="D25" s="20"/>
      <c r="E25" s="1"/>
    </row>
    <row r="26" spans="1:5" ht="15" customHeight="1" x14ac:dyDescent="0.25">
      <c r="A26" s="1"/>
      <c r="B26" s="81" t="s">
        <v>74</v>
      </c>
      <c r="C26" s="10">
        <f>'Fane 12. Periodevise driftsomk.'!E13</f>
        <v>0</v>
      </c>
      <c r="D26" s="11" t="s">
        <v>3</v>
      </c>
      <c r="E26" s="1"/>
    </row>
    <row r="27" spans="1:5" ht="15" customHeight="1" x14ac:dyDescent="0.25">
      <c r="A27" s="1"/>
      <c r="B27" s="32" t="s">
        <v>73</v>
      </c>
      <c r="C27" s="33"/>
      <c r="D27" s="20"/>
      <c r="E27" s="1"/>
    </row>
    <row r="28" spans="1:5" x14ac:dyDescent="0.25">
      <c r="A28" s="1"/>
      <c r="B28" s="84" t="s">
        <v>69</v>
      </c>
      <c r="C28" s="9">
        <f>'Fane 11.2. Engangstillæg'!C11</f>
        <v>1087420.77240048</v>
      </c>
      <c r="D28" s="8" t="s">
        <v>3</v>
      </c>
      <c r="E28" s="1"/>
    </row>
    <row r="29" spans="1:5" ht="15" customHeight="1" x14ac:dyDescent="0.25">
      <c r="A29" s="1"/>
      <c r="B29" s="84" t="s">
        <v>70</v>
      </c>
      <c r="C29" s="9">
        <f>'Fane 11.2. Engangstillæg'!E11</f>
        <v>0</v>
      </c>
      <c r="D29" s="8" t="s">
        <v>3</v>
      </c>
      <c r="E29" s="1"/>
    </row>
    <row r="30" spans="1:5" ht="15" customHeight="1" x14ac:dyDescent="0.25">
      <c r="A30" s="1"/>
      <c r="B30" s="84" t="s">
        <v>243</v>
      </c>
      <c r="C30" s="9">
        <f>-C28*('Fane 15. Nøgletal'!C31+'Fane 5. Individuelt eff. krav'!G9)</f>
        <v>-29037.28844336492</v>
      </c>
      <c r="D30" s="8" t="s">
        <v>3</v>
      </c>
      <c r="E30" s="1"/>
    </row>
    <row r="31" spans="1:5" ht="15" customHeight="1" x14ac:dyDescent="0.25">
      <c r="A31" s="1"/>
      <c r="B31" s="41" t="s">
        <v>244</v>
      </c>
      <c r="C31" s="9">
        <f>-C29*('Fane 15. Nøgletal'!C26+'Fane 5. Individuelt eff. krav'!G9)</f>
        <v>0</v>
      </c>
      <c r="D31" s="8" t="s">
        <v>3</v>
      </c>
      <c r="E31" s="1"/>
    </row>
    <row r="32" spans="1:5" x14ac:dyDescent="0.25">
      <c r="A32" s="1"/>
      <c r="B32" s="81" t="s">
        <v>75</v>
      </c>
      <c r="C32" s="10">
        <f>SUM(C28:C31)</f>
        <v>1058383.4839571151</v>
      </c>
      <c r="D32" s="11" t="s">
        <v>3</v>
      </c>
      <c r="E32" s="1"/>
    </row>
    <row r="33" spans="1:5" x14ac:dyDescent="0.25">
      <c r="A33" s="1"/>
      <c r="B33" s="32" t="s">
        <v>193</v>
      </c>
      <c r="C33" s="33"/>
      <c r="D33" s="20"/>
      <c r="E33" s="1"/>
    </row>
    <row r="34" spans="1:5" x14ac:dyDescent="0.25">
      <c r="A34" s="1"/>
      <c r="B34" s="97" t="s">
        <v>193</v>
      </c>
      <c r="C34" s="10">
        <f>'Fane 9. Korrektion af ØR2021'!E17</f>
        <v>-100231</v>
      </c>
      <c r="D34" s="11" t="s">
        <v>3</v>
      </c>
      <c r="E34" s="1"/>
    </row>
    <row r="35" spans="1:5" x14ac:dyDescent="0.25">
      <c r="A35" s="1"/>
      <c r="B35" s="32" t="s">
        <v>131</v>
      </c>
      <c r="C35" s="33"/>
      <c r="D35" s="20"/>
      <c r="E35" s="1"/>
    </row>
    <row r="36" spans="1:5" x14ac:dyDescent="0.25">
      <c r="A36" s="1"/>
      <c r="B36" s="97" t="s">
        <v>189</v>
      </c>
      <c r="C36" s="10">
        <f>'Fane 7. Kontrol af ØR2021'!E30</f>
        <v>0</v>
      </c>
      <c r="D36" s="11" t="s">
        <v>3</v>
      </c>
      <c r="E36" s="1"/>
    </row>
    <row r="37" spans="1:5" ht="26.25" customHeight="1" x14ac:dyDescent="0.25">
      <c r="A37" s="1"/>
      <c r="B37" s="118" t="s">
        <v>178</v>
      </c>
      <c r="C37" s="119"/>
      <c r="D37" s="120"/>
      <c r="E37" s="1"/>
    </row>
    <row r="38" spans="1:5" x14ac:dyDescent="0.25">
      <c r="A38" s="1"/>
      <c r="B38" s="94" t="s">
        <v>179</v>
      </c>
      <c r="C38" s="10">
        <f>'Fane 8. Skattesagen'!G12</f>
        <v>0</v>
      </c>
      <c r="D38" s="11" t="s">
        <v>3</v>
      </c>
      <c r="E38" s="1"/>
    </row>
    <row r="39" spans="1:5" x14ac:dyDescent="0.25">
      <c r="A39" s="1"/>
      <c r="B39" s="32" t="s">
        <v>78</v>
      </c>
      <c r="C39" s="12">
        <f>SUM(C22,C24,C26,C32,C34,C36,C38)</f>
        <v>155490290.23838392</v>
      </c>
      <c r="D39" s="13" t="s">
        <v>3</v>
      </c>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43"/>
      <c r="B49" s="43"/>
      <c r="C49" s="43"/>
      <c r="D49" s="43"/>
      <c r="E49" s="43"/>
    </row>
    <row r="50" spans="1:5" x14ac:dyDescent="0.25">
      <c r="A50" s="43"/>
      <c r="B50" s="43"/>
      <c r="C50" s="43"/>
      <c r="D50" s="43"/>
    </row>
  </sheetData>
  <sheetProtection algorithmName="SHA-512" hashValue="oIlzITjKJVgkbXUgBiI0lqBjg6X3lhKXZN6xriPD+PaU93istF8jQF1OR7wF/yjSjUCCmVpt32CM0W7uukNk1A==" saltValue="lFdRyR88n/y1dCl4F77IeA==" spinCount="100000" sheet="1" objects="1" scenarios="1"/>
  <mergeCells count="2">
    <mergeCell ref="B3:D4"/>
    <mergeCell ref="B37:D37"/>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89" zoomScaleNormal="100" zoomScalePageLayoutView="89" workbookViewId="0"/>
  </sheetViews>
  <sheetFormatPr defaultColWidth="9" defaultRowHeight="15" x14ac:dyDescent="0.25"/>
  <cols>
    <col min="1" max="1" width="8.5703125" style="2" customWidth="1"/>
    <col min="2" max="2" width="55.28515625" style="2" customWidth="1"/>
    <col min="3" max="3" width="8.42578125" style="2" customWidth="1"/>
    <col min="4" max="4" width="12.28515625" style="2" customWidth="1"/>
    <col min="5" max="16384" width="9" style="2"/>
  </cols>
  <sheetData>
    <row r="1" spans="1:4" x14ac:dyDescent="0.25">
      <c r="A1" s="1"/>
      <c r="B1" s="1"/>
      <c r="C1" s="1"/>
      <c r="D1" s="1"/>
    </row>
    <row r="2" spans="1:4" x14ac:dyDescent="0.25">
      <c r="A2" s="1"/>
      <c r="B2" s="1"/>
      <c r="C2" s="1"/>
      <c r="D2" s="1"/>
    </row>
    <row r="3" spans="1:4" ht="15" customHeight="1" x14ac:dyDescent="0.25">
      <c r="A3" s="1"/>
      <c r="B3" s="140" t="s">
        <v>262</v>
      </c>
      <c r="C3" s="140"/>
      <c r="D3" s="1"/>
    </row>
    <row r="4" spans="1:4" ht="25.5" customHeight="1" x14ac:dyDescent="0.25">
      <c r="A4" s="1"/>
      <c r="B4" s="140"/>
      <c r="C4" s="140"/>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2" t="s">
        <v>14</v>
      </c>
      <c r="C8" s="20"/>
      <c r="D8" s="1"/>
    </row>
    <row r="9" spans="1:4" x14ac:dyDescent="0.25">
      <c r="A9" s="1"/>
      <c r="B9" s="87" t="s">
        <v>180</v>
      </c>
      <c r="C9" s="26">
        <v>1.2699999999999999E-2</v>
      </c>
      <c r="D9" s="1"/>
    </row>
    <row r="10" spans="1:4" x14ac:dyDescent="0.25">
      <c r="A10" s="1"/>
      <c r="B10" s="87" t="s">
        <v>100</v>
      </c>
      <c r="C10" s="26">
        <v>1.7500000000000002E-2</v>
      </c>
      <c r="D10" s="1"/>
    </row>
    <row r="11" spans="1:4" x14ac:dyDescent="0.25">
      <c r="A11" s="1"/>
      <c r="B11" s="87" t="s">
        <v>23</v>
      </c>
      <c r="C11" s="26">
        <v>1.6899999999999998E-2</v>
      </c>
      <c r="D11" s="1"/>
    </row>
    <row r="12" spans="1:4" x14ac:dyDescent="0.25">
      <c r="A12" s="1"/>
      <c r="B12" s="28" t="s">
        <v>41</v>
      </c>
      <c r="C12" s="26">
        <v>1.9699999999999999E-2</v>
      </c>
      <c r="D12" s="1"/>
    </row>
    <row r="13" spans="1:4" x14ac:dyDescent="0.25">
      <c r="A13" s="1"/>
      <c r="B13" s="28" t="s">
        <v>121</v>
      </c>
      <c r="C13" s="29">
        <v>1.2200000000000001E-2</v>
      </c>
      <c r="D13" s="1"/>
    </row>
    <row r="14" spans="1:4" x14ac:dyDescent="0.25">
      <c r="A14" s="1"/>
      <c r="B14" s="28" t="s">
        <v>188</v>
      </c>
      <c r="C14" s="29">
        <v>3.3E-3</v>
      </c>
      <c r="D14" s="1"/>
    </row>
    <row r="15" spans="1:4" x14ac:dyDescent="0.25">
      <c r="A15" s="1"/>
      <c r="B15" s="28" t="s">
        <v>227</v>
      </c>
      <c r="C15" s="29">
        <v>3.56E-2</v>
      </c>
      <c r="D15" s="1"/>
    </row>
    <row r="16" spans="1:4" x14ac:dyDescent="0.25">
      <c r="A16" s="1"/>
      <c r="B16" s="32"/>
      <c r="C16" s="20"/>
      <c r="D16" s="1"/>
    </row>
    <row r="17" spans="1:4" x14ac:dyDescent="0.25">
      <c r="A17" s="1"/>
      <c r="B17" s="1"/>
      <c r="C17" s="1"/>
      <c r="D17" s="1"/>
    </row>
    <row r="18" spans="1:4" x14ac:dyDescent="0.25">
      <c r="A18" s="1"/>
      <c r="B18" s="1"/>
      <c r="C18" s="1"/>
      <c r="D18" s="1"/>
    </row>
    <row r="19" spans="1:4" x14ac:dyDescent="0.25">
      <c r="A19" s="1"/>
      <c r="B19" s="32" t="s">
        <v>91</v>
      </c>
      <c r="C19" s="20"/>
      <c r="D19" s="1"/>
    </row>
    <row r="20" spans="1:4" x14ac:dyDescent="0.25">
      <c r="A20" s="1"/>
      <c r="B20" s="87" t="s">
        <v>181</v>
      </c>
      <c r="C20" s="23">
        <v>9.1000000000000004E-3</v>
      </c>
      <c r="D20" s="1"/>
    </row>
    <row r="21" spans="1:4" x14ac:dyDescent="0.25">
      <c r="A21" s="1"/>
      <c r="B21" s="87" t="s">
        <v>102</v>
      </c>
      <c r="C21" s="23">
        <v>1.77E-2</v>
      </c>
      <c r="D21" s="1"/>
    </row>
    <row r="22" spans="1:4" x14ac:dyDescent="0.25">
      <c r="A22" s="1"/>
      <c r="B22" s="87" t="s">
        <v>101</v>
      </c>
      <c r="C22" s="23">
        <v>8.6999999999999994E-3</v>
      </c>
      <c r="D22" s="1"/>
    </row>
    <row r="23" spans="1:4" x14ac:dyDescent="0.25">
      <c r="A23" s="1"/>
      <c r="B23" s="87" t="s">
        <v>103</v>
      </c>
      <c r="C23" s="23">
        <v>2.8400000000000002E-2</v>
      </c>
      <c r="D23" s="1"/>
    </row>
    <row r="24" spans="1:4" x14ac:dyDescent="0.25">
      <c r="A24" s="1"/>
      <c r="B24" s="87" t="s">
        <v>122</v>
      </c>
      <c r="C24" s="30">
        <v>2.75E-2</v>
      </c>
      <c r="D24" s="1"/>
    </row>
    <row r="25" spans="1:4" x14ac:dyDescent="0.25">
      <c r="A25" s="1"/>
      <c r="B25" s="87" t="s">
        <v>149</v>
      </c>
      <c r="C25" s="30">
        <v>1.4800000000000001E-2</v>
      </c>
      <c r="D25" s="1"/>
    </row>
    <row r="26" spans="1:4" x14ac:dyDescent="0.25">
      <c r="A26" s="1"/>
      <c r="B26" s="87" t="s">
        <v>228</v>
      </c>
      <c r="C26" s="30">
        <v>0</v>
      </c>
      <c r="D26" s="1"/>
    </row>
    <row r="27" spans="1:4" x14ac:dyDescent="0.25">
      <c r="A27" s="1"/>
      <c r="B27" s="32"/>
      <c r="C27" s="20"/>
      <c r="D27" s="1"/>
    </row>
    <row r="28" spans="1:4" x14ac:dyDescent="0.25">
      <c r="A28" s="1"/>
      <c r="B28" s="1"/>
      <c r="C28" s="1"/>
      <c r="D28" s="1"/>
    </row>
    <row r="29" spans="1:4" x14ac:dyDescent="0.25">
      <c r="A29" s="1"/>
      <c r="B29" s="1"/>
      <c r="C29" s="1"/>
      <c r="D29" s="1"/>
    </row>
    <row r="30" spans="1:4" x14ac:dyDescent="0.25">
      <c r="A30" s="1"/>
      <c r="B30" s="32" t="s">
        <v>90</v>
      </c>
      <c r="C30" s="20"/>
      <c r="D30" s="1"/>
    </row>
    <row r="31" spans="1:4" x14ac:dyDescent="0.25">
      <c r="A31" s="1"/>
      <c r="B31" s="87" t="s">
        <v>104</v>
      </c>
      <c r="C31" s="26">
        <v>0.02</v>
      </c>
      <c r="D31" s="1"/>
    </row>
    <row r="32" spans="1:4" x14ac:dyDescent="0.25">
      <c r="A32" s="1"/>
      <c r="B32" s="32"/>
      <c r="C32" s="20"/>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3"/>
      <c r="B50" s="43"/>
      <c r="C50" s="43"/>
      <c r="D50" s="43"/>
    </row>
    <row r="51" spans="1:4" x14ac:dyDescent="0.25">
      <c r="A51" s="43"/>
      <c r="B51" s="43"/>
      <c r="C51" s="43"/>
      <c r="D51" s="43"/>
    </row>
    <row r="52" spans="1:4" x14ac:dyDescent="0.25">
      <c r="A52" s="43"/>
      <c r="B52" s="43"/>
      <c r="C52" s="43"/>
      <c r="D52" s="43"/>
    </row>
    <row r="53" spans="1:4" x14ac:dyDescent="0.25">
      <c r="A53" s="43"/>
      <c r="B53" s="43"/>
      <c r="C53" s="43"/>
      <c r="D53" s="43"/>
    </row>
  </sheetData>
  <sheetProtection algorithmName="SHA-512" hashValue="/Yd94AeS0HfNHRQUp/z2IviOV3Y4m3goOWSMWGgoecDQYxBQ6qpNXbZ+Im3S+y+Uh6ZgtSUx9vgfifksJNcZlw==" saltValue="VJM+W4WTf/GXUVAVvV0waQ=="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5"/>
  <sheetViews>
    <sheetView showGridLines="0" view="pageLayout" zoomScaleNormal="100" workbookViewId="0"/>
  </sheetViews>
  <sheetFormatPr defaultColWidth="9" defaultRowHeight="15" x14ac:dyDescent="0.25"/>
  <cols>
    <col min="1" max="1" width="5" style="2" customWidth="1"/>
    <col min="2" max="2" width="51.5703125" style="2" customWidth="1"/>
    <col min="3" max="3" width="15.7109375" style="2" customWidth="1"/>
    <col min="4" max="4" width="3.28515625" style="2" customWidth="1"/>
    <col min="5" max="5" width="7.285156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7" t="s">
        <v>195</v>
      </c>
      <c r="C3" s="117"/>
      <c r="D3" s="117"/>
      <c r="E3" s="1"/>
    </row>
    <row r="4" spans="1:5" ht="15" customHeight="1" x14ac:dyDescent="0.25">
      <c r="A4" s="1"/>
      <c r="B4" s="117"/>
      <c r="C4" s="117"/>
      <c r="D4" s="117"/>
      <c r="E4" s="1"/>
    </row>
    <row r="5" spans="1:5" x14ac:dyDescent="0.25">
      <c r="A5" s="1"/>
      <c r="B5" s="121" t="s">
        <v>22</v>
      </c>
      <c r="C5" s="121"/>
      <c r="D5" s="121"/>
      <c r="E5" s="1"/>
    </row>
    <row r="6" spans="1:5" x14ac:dyDescent="0.25">
      <c r="A6" s="1"/>
      <c r="B6" s="1"/>
      <c r="C6" s="1"/>
      <c r="D6" s="1"/>
      <c r="E6" s="1"/>
    </row>
    <row r="7" spans="1:5" x14ac:dyDescent="0.25">
      <c r="A7" s="1"/>
      <c r="B7" s="1"/>
      <c r="C7" s="1"/>
      <c r="D7" s="1"/>
      <c r="E7" s="1"/>
    </row>
    <row r="8" spans="1:5" x14ac:dyDescent="0.25">
      <c r="A8" s="1"/>
      <c r="B8" s="32" t="s">
        <v>13</v>
      </c>
      <c r="C8" s="33"/>
      <c r="D8" s="20"/>
      <c r="E8" s="1"/>
    </row>
    <row r="9" spans="1:5" ht="15" customHeight="1" x14ac:dyDescent="0.25">
      <c r="A9" s="1"/>
      <c r="B9" s="86" t="s">
        <v>115</v>
      </c>
      <c r="C9" s="7">
        <f>'Fane 2.1. Økonomisk ramme 2023'!C22</f>
        <v>149223110.65789804</v>
      </c>
      <c r="D9" s="8" t="s">
        <v>3</v>
      </c>
      <c r="E9" s="1"/>
    </row>
    <row r="10" spans="1:5" ht="15" customHeight="1" x14ac:dyDescent="0.25">
      <c r="A10" s="1"/>
      <c r="B10" s="80" t="s">
        <v>19</v>
      </c>
      <c r="C10" s="7">
        <f>SUM(C9:C9)*'Fane 15. Nøgletal'!C15</f>
        <v>5312342.7394211702</v>
      </c>
      <c r="D10" s="8" t="s">
        <v>3</v>
      </c>
      <c r="E10" s="1"/>
    </row>
    <row r="11" spans="1:5" ht="15" customHeight="1" x14ac:dyDescent="0.25">
      <c r="A11" s="1"/>
      <c r="B11" s="80" t="s">
        <v>10</v>
      </c>
      <c r="C11" s="9">
        <f>-SUM(C9:C10)*'Fane 5. Individuelt eff. krav'!G9</f>
        <v>-1035835.7332150341</v>
      </c>
      <c r="D11" s="8" t="s">
        <v>3</v>
      </c>
      <c r="E11" s="1"/>
    </row>
    <row r="12" spans="1:5" ht="15" customHeight="1" x14ac:dyDescent="0.25">
      <c r="A12" s="1"/>
      <c r="B12" s="80" t="s">
        <v>25</v>
      </c>
      <c r="C12" s="9">
        <f>-'Fane 4.1. Gen. krav - drift'!G54</f>
        <v>-880447.03386570467</v>
      </c>
      <c r="D12" s="8" t="s">
        <v>3</v>
      </c>
      <c r="E12" s="1"/>
    </row>
    <row r="13" spans="1:5" ht="15" customHeight="1" x14ac:dyDescent="0.25">
      <c r="A13" s="1"/>
      <c r="B13" s="80" t="s">
        <v>26</v>
      </c>
      <c r="C13" s="9">
        <f>-'Fane 4.2. Gen. krav - anlæg'!G52</f>
        <v>0</v>
      </c>
      <c r="D13" s="8" t="s">
        <v>3</v>
      </c>
      <c r="E13" s="1"/>
    </row>
    <row r="14" spans="1:5" ht="15" customHeight="1" x14ac:dyDescent="0.25">
      <c r="A14" s="1"/>
      <c r="B14" s="35" t="s">
        <v>21</v>
      </c>
      <c r="C14" s="10">
        <f>SUM(C9:C13)</f>
        <v>152619170.63023847</v>
      </c>
      <c r="D14" s="11" t="s">
        <v>3</v>
      </c>
      <c r="E14" s="1"/>
    </row>
    <row r="15" spans="1:5" ht="15" customHeight="1" x14ac:dyDescent="0.25">
      <c r="A15" s="1"/>
      <c r="B15" s="32" t="s">
        <v>12</v>
      </c>
      <c r="C15" s="33"/>
      <c r="D15" s="20"/>
      <c r="E15" s="1"/>
    </row>
    <row r="16" spans="1:5" ht="15" customHeight="1" x14ac:dyDescent="0.25">
      <c r="A16" s="1"/>
      <c r="B16" s="97" t="s">
        <v>12</v>
      </c>
      <c r="C16" s="10">
        <f>'Fane 6. Ikke-påvirkelige omk.'!C16*(1+'Fane 15. Nøgletal'!C15)+'Fane 6. Ikke-påvirkelige omk.'!C21+'Fane 6. Ikke-påvirkelige omk.'!C29</f>
        <v>5498028.4611652046</v>
      </c>
      <c r="D16" s="11" t="s">
        <v>3</v>
      </c>
      <c r="E16" s="1"/>
    </row>
    <row r="17" spans="1:5" ht="15" customHeight="1" x14ac:dyDescent="0.25">
      <c r="A17" s="1"/>
      <c r="B17" s="32" t="s">
        <v>74</v>
      </c>
      <c r="C17" s="33"/>
      <c r="D17" s="20"/>
      <c r="E17" s="1"/>
    </row>
    <row r="18" spans="1:5" ht="15" customHeight="1" x14ac:dyDescent="0.25">
      <c r="A18" s="1"/>
      <c r="B18" s="81" t="s">
        <v>74</v>
      </c>
      <c r="C18" s="10">
        <f>'Fane 12. Periodevise driftsomk.'!E19</f>
        <v>0</v>
      </c>
      <c r="D18" s="11" t="s">
        <v>3</v>
      </c>
      <c r="E18" s="1"/>
    </row>
    <row r="19" spans="1:5" ht="15" customHeight="1" x14ac:dyDescent="0.25">
      <c r="A19" s="1"/>
      <c r="B19" s="32" t="s">
        <v>132</v>
      </c>
      <c r="C19" s="33"/>
      <c r="D19" s="20"/>
      <c r="E19" s="1"/>
    </row>
    <row r="20" spans="1:5" ht="15" customHeight="1" x14ac:dyDescent="0.25">
      <c r="A20" s="1"/>
      <c r="B20" s="97" t="s">
        <v>189</v>
      </c>
      <c r="C20" s="10">
        <f>'Fane 7. Kontrol af ØR2021'!E36</f>
        <v>-2644348.6196012571</v>
      </c>
      <c r="D20" s="11" t="s">
        <v>3</v>
      </c>
      <c r="E20" s="1"/>
    </row>
    <row r="21" spans="1:5" x14ac:dyDescent="0.25">
      <c r="A21" s="1"/>
      <c r="B21" s="34" t="s">
        <v>178</v>
      </c>
      <c r="C21" s="33"/>
      <c r="D21" s="20"/>
      <c r="E21" s="1"/>
    </row>
    <row r="22" spans="1:5" x14ac:dyDescent="0.25">
      <c r="A22" s="1"/>
      <c r="B22" s="94" t="s">
        <v>179</v>
      </c>
      <c r="C22" s="10">
        <f>'Fane 8. Skattesagen'!G13</f>
        <v>0</v>
      </c>
      <c r="D22" s="11" t="s">
        <v>3</v>
      </c>
      <c r="E22" s="1"/>
    </row>
    <row r="23" spans="1:5" ht="15" customHeight="1" x14ac:dyDescent="0.25">
      <c r="A23" s="1"/>
      <c r="B23" s="32" t="s">
        <v>116</v>
      </c>
      <c r="C23" s="12">
        <f>SUM(C14,C16,C18,C20,C22)</f>
        <v>155472850.47180241</v>
      </c>
      <c r="D23" s="13" t="s">
        <v>3</v>
      </c>
      <c r="E23" s="1"/>
    </row>
    <row r="24" spans="1:5" ht="15" customHeight="1"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43"/>
      <c r="B35" s="43"/>
      <c r="C35" s="43"/>
      <c r="D35" s="43"/>
      <c r="E35" s="43"/>
    </row>
    <row r="36" spans="1:5" x14ac:dyDescent="0.25">
      <c r="A36" s="43"/>
      <c r="B36" s="43"/>
      <c r="C36" s="43"/>
      <c r="D36" s="43"/>
      <c r="E36" s="43"/>
    </row>
    <row r="37" spans="1:5" x14ac:dyDescent="0.25">
      <c r="A37" s="43"/>
      <c r="B37" s="43"/>
      <c r="C37" s="43"/>
      <c r="D37" s="43"/>
      <c r="E37" s="43"/>
    </row>
    <row r="38" spans="1:5" x14ac:dyDescent="0.25">
      <c r="A38" s="43"/>
      <c r="B38" s="43"/>
      <c r="C38" s="43"/>
      <c r="D38" s="43"/>
      <c r="E38" s="43"/>
    </row>
    <row r="39" spans="1:5" x14ac:dyDescent="0.25">
      <c r="A39" s="43"/>
      <c r="B39" s="43"/>
      <c r="C39" s="43"/>
      <c r="D39" s="43"/>
      <c r="E39" s="43"/>
    </row>
    <row r="40" spans="1:5" x14ac:dyDescent="0.25">
      <c r="A40" s="43"/>
      <c r="B40" s="43"/>
      <c r="C40" s="43"/>
      <c r="D40" s="43"/>
      <c r="E40" s="43"/>
    </row>
    <row r="41" spans="1:5" x14ac:dyDescent="0.25">
      <c r="A41" s="43"/>
      <c r="B41" s="43"/>
      <c r="C41" s="43"/>
      <c r="D41" s="43"/>
      <c r="E41" s="43"/>
    </row>
    <row r="42" spans="1:5" x14ac:dyDescent="0.25">
      <c r="A42" s="43"/>
      <c r="B42" s="43"/>
      <c r="C42" s="43"/>
      <c r="D42" s="43"/>
      <c r="E42" s="43"/>
    </row>
    <row r="43" spans="1:5" x14ac:dyDescent="0.25">
      <c r="A43" s="43"/>
      <c r="B43" s="43"/>
      <c r="C43" s="43"/>
      <c r="D43" s="43"/>
      <c r="E43" s="43"/>
    </row>
    <row r="44" spans="1:5" x14ac:dyDescent="0.25">
      <c r="A44" s="43"/>
      <c r="B44" s="43"/>
      <c r="C44" s="43"/>
      <c r="D44" s="43"/>
      <c r="E44" s="43"/>
    </row>
    <row r="45" spans="1:5" x14ac:dyDescent="0.25">
      <c r="A45" s="43"/>
      <c r="B45" s="43"/>
      <c r="C45" s="43"/>
      <c r="D45" s="43"/>
    </row>
  </sheetData>
  <sheetProtection algorithmName="SHA-512" hashValue="8Uil8CqNiN1fTZqP2/rcBZ7CAVbmZcTsBYay30wErCrEG5fj4Din3ny3xnV6fNei9CsxODZ4tU9zd7i+1wWllA==" saltValue="KP5JXMhZTJxqxuLuhZTVWw=="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5"/>
  <sheetViews>
    <sheetView showGridLines="0" view="pageLayout" zoomScale="91" zoomScaleNormal="100" zoomScalePageLayoutView="91" workbookViewId="0"/>
  </sheetViews>
  <sheetFormatPr defaultColWidth="9" defaultRowHeight="15" x14ac:dyDescent="0.25"/>
  <cols>
    <col min="1" max="1" width="5" style="2" customWidth="1"/>
    <col min="2" max="2" width="53.5703125" style="2" customWidth="1"/>
    <col min="3" max="3" width="11.57031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7" t="s">
        <v>196</v>
      </c>
      <c r="C3" s="117"/>
      <c r="D3" s="117"/>
      <c r="E3" s="1"/>
    </row>
    <row r="4" spans="1:5" ht="15" customHeight="1" x14ac:dyDescent="0.25">
      <c r="A4" s="1"/>
      <c r="B4" s="117"/>
      <c r="C4" s="117"/>
      <c r="D4" s="117"/>
      <c r="E4" s="1"/>
    </row>
    <row r="5" spans="1:5" x14ac:dyDescent="0.25">
      <c r="A5" s="1"/>
      <c r="B5" s="121" t="s">
        <v>22</v>
      </c>
      <c r="C5" s="121"/>
      <c r="D5" s="121"/>
      <c r="E5" s="1"/>
    </row>
    <row r="6" spans="1:5" x14ac:dyDescent="0.25">
      <c r="A6" s="1"/>
      <c r="B6" s="1"/>
      <c r="C6" s="1"/>
      <c r="D6" s="1"/>
      <c r="E6" s="1"/>
    </row>
    <row r="7" spans="1:5" x14ac:dyDescent="0.25">
      <c r="A7" s="1"/>
      <c r="B7" s="32" t="s">
        <v>13</v>
      </c>
      <c r="C7" s="33"/>
      <c r="D7" s="20"/>
      <c r="E7" s="1"/>
    </row>
    <row r="8" spans="1:5" ht="15" customHeight="1" x14ac:dyDescent="0.25">
      <c r="A8" s="1"/>
      <c r="B8" s="86" t="s">
        <v>137</v>
      </c>
      <c r="C8" s="7">
        <f>'Fane 2.2. Økonomisk ramme 2024'!C14</f>
        <v>152619170.63023847</v>
      </c>
      <c r="D8" s="8" t="s">
        <v>3</v>
      </c>
      <c r="E8" s="1"/>
    </row>
    <row r="9" spans="1:5" ht="15" customHeight="1" x14ac:dyDescent="0.25">
      <c r="A9" s="1"/>
      <c r="B9" s="80" t="s">
        <v>19</v>
      </c>
      <c r="C9" s="44">
        <f>SUM(C8:C8)*'Fane 15. Nøgletal'!C15</f>
        <v>5433242.4744364899</v>
      </c>
      <c r="D9" s="8" t="s">
        <v>3</v>
      </c>
      <c r="E9" s="1"/>
    </row>
    <row r="10" spans="1:5" ht="15" customHeight="1" x14ac:dyDescent="0.25">
      <c r="A10" s="1"/>
      <c r="B10" s="80" t="s">
        <v>10</v>
      </c>
      <c r="C10" s="9">
        <f>-SUM(C8:C9)*'Fane 5. Individuelt eff. krav'!G9</f>
        <v>-1059409.5634078395</v>
      </c>
      <c r="D10" s="8" t="s">
        <v>3</v>
      </c>
      <c r="E10" s="1"/>
    </row>
    <row r="11" spans="1:5" ht="15" customHeight="1" x14ac:dyDescent="0.25">
      <c r="A11" s="1"/>
      <c r="B11" s="80" t="s">
        <v>25</v>
      </c>
      <c r="C11" s="9">
        <f>-'Fane 4.1. Gen. krav - drift'!G59</f>
        <v>-893555.1293058974</v>
      </c>
      <c r="D11" s="8" t="s">
        <v>3</v>
      </c>
      <c r="E11" s="1"/>
    </row>
    <row r="12" spans="1:5" ht="15" customHeight="1" x14ac:dyDescent="0.25">
      <c r="A12" s="1"/>
      <c r="B12" s="80" t="s">
        <v>26</v>
      </c>
      <c r="C12" s="9">
        <f>-'Fane 4.2. Gen. krav - anlæg'!G57</f>
        <v>0</v>
      </c>
      <c r="D12" s="8" t="s">
        <v>3</v>
      </c>
      <c r="E12" s="1"/>
    </row>
    <row r="13" spans="1:5" ht="15.75" customHeight="1" x14ac:dyDescent="0.25">
      <c r="A13" s="1"/>
      <c r="B13" s="35" t="s">
        <v>21</v>
      </c>
      <c r="C13" s="10">
        <f>SUM(C8:C12)</f>
        <v>156099448.41196123</v>
      </c>
      <c r="D13" s="11" t="s">
        <v>3</v>
      </c>
      <c r="E13" s="1"/>
    </row>
    <row r="14" spans="1:5" x14ac:dyDescent="0.25">
      <c r="A14" s="1"/>
      <c r="B14" s="32" t="s">
        <v>12</v>
      </c>
      <c r="C14" s="33"/>
      <c r="D14" s="20"/>
      <c r="E14" s="1"/>
    </row>
    <row r="15" spans="1:5" ht="15" customHeight="1" x14ac:dyDescent="0.25">
      <c r="A15" s="1"/>
      <c r="B15" s="97" t="s">
        <v>12</v>
      </c>
      <c r="C15" s="10">
        <f>'Fane 6. Ikke-påvirkelige omk.'!C16*(1+'Fane 15. Nøgletal'!C15)^2+'Fane 6. Ikke-påvirkelige omk.'!C22+'Fane 6. Ikke-påvirkelige omk.'!C30</f>
        <v>5693758.2743826862</v>
      </c>
      <c r="D15" s="11" t="s">
        <v>3</v>
      </c>
      <c r="E15" s="1"/>
    </row>
    <row r="16" spans="1:5" ht="15" customHeight="1" x14ac:dyDescent="0.25">
      <c r="A16" s="1"/>
      <c r="B16" s="32" t="s">
        <v>74</v>
      </c>
      <c r="C16" s="33"/>
      <c r="D16" s="20"/>
      <c r="E16" s="1"/>
    </row>
    <row r="17" spans="1:5" ht="15" customHeight="1" x14ac:dyDescent="0.25">
      <c r="A17" s="1"/>
      <c r="B17" s="81" t="s">
        <v>74</v>
      </c>
      <c r="C17" s="10">
        <f>'Fane 12. Periodevise driftsomk.'!E25</f>
        <v>0</v>
      </c>
      <c r="D17" s="11" t="s">
        <v>3</v>
      </c>
      <c r="E17" s="1"/>
    </row>
    <row r="18" spans="1:5" ht="15" customHeight="1" x14ac:dyDescent="0.25">
      <c r="A18" s="1"/>
      <c r="B18" s="32" t="s">
        <v>132</v>
      </c>
      <c r="C18" s="33"/>
      <c r="D18" s="20"/>
      <c r="E18" s="1"/>
    </row>
    <row r="19" spans="1:5" ht="15" customHeight="1" x14ac:dyDescent="0.25">
      <c r="A19" s="1"/>
      <c r="B19" s="97" t="s">
        <v>189</v>
      </c>
      <c r="C19" s="10">
        <f>'Fane 7. Kontrol af ØR2021'!E36</f>
        <v>-2644348.6196012571</v>
      </c>
      <c r="D19" s="11" t="s">
        <v>3</v>
      </c>
      <c r="E19" s="1"/>
    </row>
    <row r="20" spans="1:5" x14ac:dyDescent="0.25">
      <c r="A20" s="1"/>
      <c r="B20" s="34" t="s">
        <v>178</v>
      </c>
      <c r="C20" s="33"/>
      <c r="D20" s="20"/>
      <c r="E20" s="1"/>
    </row>
    <row r="21" spans="1:5" x14ac:dyDescent="0.25">
      <c r="A21" s="1"/>
      <c r="B21" s="94" t="s">
        <v>179</v>
      </c>
      <c r="C21" s="10">
        <f>'Fane 8. Skattesagen'!G14</f>
        <v>0</v>
      </c>
      <c r="D21" s="11" t="s">
        <v>3</v>
      </c>
      <c r="E21" s="1"/>
    </row>
    <row r="22" spans="1:5" x14ac:dyDescent="0.25">
      <c r="A22" s="1"/>
      <c r="B22" s="32" t="s">
        <v>138</v>
      </c>
      <c r="C22" s="12">
        <f>SUM(C13,C15,C17,C19,C21)</f>
        <v>159148858.06674266</v>
      </c>
      <c r="D22" s="13" t="s">
        <v>3</v>
      </c>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43"/>
      <c r="B45" s="43"/>
      <c r="C45" s="43"/>
      <c r="D45" s="43"/>
    </row>
  </sheetData>
  <sheetProtection algorithmName="SHA-512" hashValue="7giS0IoqRKL89LQiBf8mv6bEHv20qMK2RYBXeH8PttGPIWp95eUY71sMWXo67+rwtZ1b0kQ01fhsCou8nyBZjg==" saltValue="NvkfBKW6ceCNOTZKrP4VCA=="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7"/>
  <sheetViews>
    <sheetView showGridLines="0" view="pageLayout" zoomScaleNormal="100" workbookViewId="0"/>
  </sheetViews>
  <sheetFormatPr defaultColWidth="9" defaultRowHeight="15" x14ac:dyDescent="0.25"/>
  <cols>
    <col min="1" max="1" width="9.5703125" style="2" customWidth="1"/>
    <col min="2" max="2" width="52.28515625" style="2" customWidth="1"/>
    <col min="3" max="3" width="10.85546875" style="2" bestFit="1" customWidth="1"/>
    <col min="4" max="4" width="3.28515625" style="2" customWidth="1"/>
    <col min="5" max="5" width="9.57031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7" t="s">
        <v>197</v>
      </c>
      <c r="C3" s="117"/>
      <c r="D3" s="117"/>
      <c r="E3" s="1"/>
    </row>
    <row r="4" spans="1:5" ht="15" customHeight="1" x14ac:dyDescent="0.25">
      <c r="A4" s="1"/>
      <c r="B4" s="117"/>
      <c r="C4" s="117"/>
      <c r="D4" s="117"/>
      <c r="E4" s="1"/>
    </row>
    <row r="5" spans="1:5" x14ac:dyDescent="0.25">
      <c r="A5" s="1"/>
      <c r="B5" s="121" t="s">
        <v>22</v>
      </c>
      <c r="C5" s="121"/>
      <c r="D5" s="121"/>
      <c r="E5" s="1"/>
    </row>
    <row r="6" spans="1:5" x14ac:dyDescent="0.25">
      <c r="A6" s="1"/>
      <c r="B6" s="1"/>
      <c r="C6" s="1"/>
      <c r="D6" s="1"/>
      <c r="E6" s="1"/>
    </row>
    <row r="7" spans="1:5" x14ac:dyDescent="0.25">
      <c r="A7" s="1"/>
      <c r="B7" s="32" t="s">
        <v>13</v>
      </c>
      <c r="C7" s="33"/>
      <c r="D7" s="20"/>
      <c r="E7" s="1"/>
    </row>
    <row r="8" spans="1:5" ht="15" customHeight="1" x14ac:dyDescent="0.25">
      <c r="A8" s="1"/>
      <c r="B8" s="86" t="s">
        <v>198</v>
      </c>
      <c r="C8" s="7">
        <f>'Fane 2.3. Økonomisk ramme 2025'!C13</f>
        <v>156099448.41196123</v>
      </c>
      <c r="D8" s="8" t="s">
        <v>3</v>
      </c>
      <c r="E8" s="1"/>
    </row>
    <row r="9" spans="1:5" ht="15" customHeight="1" x14ac:dyDescent="0.25">
      <c r="A9" s="1"/>
      <c r="B9" s="80" t="s">
        <v>19</v>
      </c>
      <c r="C9" s="44">
        <f>SUM(C8:C8)*'Fane 15. Nøgletal'!C15</f>
        <v>5557140.3634658195</v>
      </c>
      <c r="D9" s="8" t="s">
        <v>3</v>
      </c>
      <c r="E9" s="1"/>
    </row>
    <row r="10" spans="1:5" ht="15" customHeight="1" x14ac:dyDescent="0.25">
      <c r="A10" s="1"/>
      <c r="B10" s="80" t="s">
        <v>10</v>
      </c>
      <c r="C10" s="9">
        <f>-SUM(C8:C9)*'Fane 5. Individuelt eff. krav'!G9</f>
        <v>-1083567.993505758</v>
      </c>
      <c r="D10" s="8" t="s">
        <v>3</v>
      </c>
      <c r="E10" s="1"/>
    </row>
    <row r="11" spans="1:5" ht="15" customHeight="1" x14ac:dyDescent="0.25">
      <c r="A11" s="1"/>
      <c r="B11" s="80" t="s">
        <v>25</v>
      </c>
      <c r="C11" s="9">
        <f>-'Fane 4.1. Gen. krav - drift'!G64</f>
        <v>-906858.37807100359</v>
      </c>
      <c r="D11" s="8" t="s">
        <v>3</v>
      </c>
      <c r="E11" s="1"/>
    </row>
    <row r="12" spans="1:5" ht="15" customHeight="1" x14ac:dyDescent="0.25">
      <c r="A12" s="1"/>
      <c r="B12" s="80" t="s">
        <v>26</v>
      </c>
      <c r="C12" s="9">
        <f>-'Fane 4.2. Gen. krav - anlæg'!G62</f>
        <v>0</v>
      </c>
      <c r="D12" s="8" t="s">
        <v>3</v>
      </c>
      <c r="E12" s="1"/>
    </row>
    <row r="13" spans="1:5" ht="15.75" customHeight="1" x14ac:dyDescent="0.25">
      <c r="A13" s="1"/>
      <c r="B13" s="35" t="s">
        <v>21</v>
      </c>
      <c r="C13" s="10">
        <f>SUM(C8:C12)</f>
        <v>159666162.40385029</v>
      </c>
      <c r="D13" s="11" t="s">
        <v>3</v>
      </c>
      <c r="E13" s="1"/>
    </row>
    <row r="14" spans="1:5" x14ac:dyDescent="0.25">
      <c r="A14" s="1"/>
      <c r="B14" s="32" t="s">
        <v>12</v>
      </c>
      <c r="C14" s="33"/>
      <c r="D14" s="20"/>
      <c r="E14" s="1"/>
    </row>
    <row r="15" spans="1:5" ht="15" customHeight="1" x14ac:dyDescent="0.25">
      <c r="A15" s="1"/>
      <c r="B15" s="97" t="s">
        <v>12</v>
      </c>
      <c r="C15" s="10">
        <f>'Fane 6. Ikke-påvirkelige omk.'!C16*(1+'Fane 15. Nøgletal'!C15)^3+'Fane 6. Ikke-påvirkelige omk.'!C23+'Fane 6. Ikke-påvirkelige omk.'!C31</f>
        <v>5896456.0689507099</v>
      </c>
      <c r="D15" s="11" t="s">
        <v>3</v>
      </c>
      <c r="E15" s="1"/>
    </row>
    <row r="16" spans="1:5" ht="15" customHeight="1" x14ac:dyDescent="0.25">
      <c r="A16" s="1"/>
      <c r="B16" s="32" t="s">
        <v>74</v>
      </c>
      <c r="C16" s="33"/>
      <c r="D16" s="20"/>
      <c r="E16" s="1"/>
    </row>
    <row r="17" spans="1:5" ht="15" customHeight="1" x14ac:dyDescent="0.25">
      <c r="A17" s="1"/>
      <c r="B17" s="81" t="s">
        <v>74</v>
      </c>
      <c r="C17" s="10">
        <f>'Fane 12. Periodevise driftsomk.'!E31</f>
        <v>0</v>
      </c>
      <c r="D17" s="11" t="s">
        <v>3</v>
      </c>
      <c r="E17" s="1"/>
    </row>
    <row r="18" spans="1:5" ht="15" customHeight="1" x14ac:dyDescent="0.25">
      <c r="A18" s="1"/>
      <c r="B18" s="32" t="s">
        <v>132</v>
      </c>
      <c r="C18" s="33"/>
      <c r="D18" s="20"/>
      <c r="E18" s="1"/>
    </row>
    <row r="19" spans="1:5" ht="15" customHeight="1" x14ac:dyDescent="0.25">
      <c r="A19" s="1"/>
      <c r="B19" s="97" t="s">
        <v>189</v>
      </c>
      <c r="C19" s="10">
        <f>'Fane 7. Kontrol af ØR2021'!E36</f>
        <v>-2644348.6196012571</v>
      </c>
      <c r="D19" s="11" t="s">
        <v>3</v>
      </c>
      <c r="E19" s="1"/>
    </row>
    <row r="20" spans="1:5" ht="15" customHeight="1" x14ac:dyDescent="0.25">
      <c r="A20" s="1"/>
      <c r="B20" s="34" t="s">
        <v>178</v>
      </c>
      <c r="C20" s="33"/>
      <c r="D20" s="20"/>
      <c r="E20" s="1"/>
    </row>
    <row r="21" spans="1:5" ht="15" customHeight="1" x14ac:dyDescent="0.25">
      <c r="A21" s="1"/>
      <c r="B21" s="94" t="s">
        <v>179</v>
      </c>
      <c r="C21" s="10">
        <f>'Fane 8. Skattesagen'!G15</f>
        <v>0</v>
      </c>
      <c r="D21" s="11" t="s">
        <v>3</v>
      </c>
      <c r="E21" s="1"/>
    </row>
    <row r="22" spans="1:5" ht="15" customHeight="1" x14ac:dyDescent="0.25">
      <c r="A22" s="1"/>
      <c r="B22" s="32" t="s">
        <v>199</v>
      </c>
      <c r="C22" s="12">
        <f>SUM(C13,C15,C17,C19,C21)</f>
        <v>162918269.85319975</v>
      </c>
      <c r="D22" s="13" t="s">
        <v>3</v>
      </c>
      <c r="E22" s="1"/>
    </row>
    <row r="23" spans="1:5" ht="15" customHeight="1"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2h6y2vDND48LYa7xXglxMw7hUCor4mfgFs6YN98cOmNzOgOf+xSBRsSpyOWBYTx5mwisX8GgF6E90FqneGQILQ==" saltValue="kLeWqaXCMMi8R9HRyJuKAA=="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51"/>
  <sheetViews>
    <sheetView showGridLines="0" view="pageLayout" zoomScaleNormal="100" workbookViewId="0"/>
  </sheetViews>
  <sheetFormatPr defaultColWidth="9" defaultRowHeight="15" x14ac:dyDescent="0.25"/>
  <cols>
    <col min="1" max="1" width="7.85546875" style="2" customWidth="1"/>
    <col min="2" max="3" width="12" style="2" customWidth="1"/>
    <col min="4" max="4" width="31.7109375" style="2" customWidth="1"/>
    <col min="5" max="5" width="10.85546875" style="2" bestFit="1" customWidth="1"/>
    <col min="6" max="6" width="3.5703125" style="2" bestFit="1" customWidth="1"/>
    <col min="7" max="7" width="7.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40" t="s">
        <v>200</v>
      </c>
      <c r="C3" s="140"/>
      <c r="D3" s="140"/>
      <c r="E3" s="140"/>
      <c r="F3" s="140"/>
      <c r="G3" s="1"/>
    </row>
    <row r="4" spans="1:7" ht="29.25" customHeight="1" x14ac:dyDescent="0.25">
      <c r="A4" s="1"/>
      <c r="B4" s="140"/>
      <c r="C4" s="140"/>
      <c r="D4" s="140"/>
      <c r="E4" s="140"/>
      <c r="F4" s="14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201</v>
      </c>
      <c r="C8" s="33"/>
      <c r="D8" s="33"/>
      <c r="E8" s="33"/>
      <c r="F8" s="20"/>
      <c r="G8" s="1"/>
    </row>
    <row r="9" spans="1:7" x14ac:dyDescent="0.25">
      <c r="A9" s="1"/>
      <c r="B9" s="141" t="s">
        <v>24</v>
      </c>
      <c r="C9" s="142"/>
      <c r="D9" s="143"/>
      <c r="E9" s="63">
        <v>150792686.80836928</v>
      </c>
      <c r="F9" s="8" t="s">
        <v>3</v>
      </c>
      <c r="G9" s="1"/>
    </row>
    <row r="10" spans="1:7" ht="14.25" customHeight="1" x14ac:dyDescent="0.25">
      <c r="A10" s="1"/>
      <c r="B10" s="137" t="s">
        <v>39</v>
      </c>
      <c r="C10" s="138"/>
      <c r="D10" s="139"/>
      <c r="E10" s="63">
        <v>96409.103600000002</v>
      </c>
      <c r="F10" s="8" t="s">
        <v>3</v>
      </c>
      <c r="G10" s="1"/>
    </row>
    <row r="11" spans="1:7" ht="14.25" customHeight="1" x14ac:dyDescent="0.25">
      <c r="A11" s="1"/>
      <c r="B11" s="137" t="s">
        <v>40</v>
      </c>
      <c r="C11" s="138"/>
      <c r="D11" s="139"/>
      <c r="E11" s="63">
        <v>755295.27630000003</v>
      </c>
      <c r="F11" s="8" t="s">
        <v>3</v>
      </c>
      <c r="G11" s="1"/>
    </row>
    <row r="12" spans="1:7" x14ac:dyDescent="0.25">
      <c r="A12" s="1"/>
      <c r="B12" s="128" t="s">
        <v>28</v>
      </c>
      <c r="C12" s="129"/>
      <c r="D12" s="130"/>
      <c r="E12" s="64">
        <v>0</v>
      </c>
      <c r="F12" s="8" t="s">
        <v>3</v>
      </c>
      <c r="G12" s="1"/>
    </row>
    <row r="13" spans="1:7" ht="15" customHeight="1" x14ac:dyDescent="0.25">
      <c r="A13" s="1"/>
      <c r="B13" s="128" t="s">
        <v>27</v>
      </c>
      <c r="C13" s="129"/>
      <c r="D13" s="130"/>
      <c r="E13" s="64">
        <v>0</v>
      </c>
      <c r="F13" s="8" t="s">
        <v>3</v>
      </c>
      <c r="G13" s="1"/>
    </row>
    <row r="14" spans="1:7" x14ac:dyDescent="0.25">
      <c r="A14" s="1"/>
      <c r="B14" s="128" t="s">
        <v>113</v>
      </c>
      <c r="C14" s="129"/>
      <c r="D14" s="130"/>
      <c r="E14" s="64">
        <v>0</v>
      </c>
      <c r="F14" s="8" t="s">
        <v>3</v>
      </c>
      <c r="G14" s="1"/>
    </row>
    <row r="15" spans="1:7" x14ac:dyDescent="0.25">
      <c r="A15" s="1"/>
      <c r="B15" s="128" t="s">
        <v>114</v>
      </c>
      <c r="C15" s="129"/>
      <c r="D15" s="130"/>
      <c r="E15" s="64">
        <v>0</v>
      </c>
      <c r="F15" s="8" t="s">
        <v>3</v>
      </c>
      <c r="G15" s="1"/>
    </row>
    <row r="16" spans="1:7" x14ac:dyDescent="0.25">
      <c r="A16" s="1"/>
      <c r="B16" s="128" t="s">
        <v>19</v>
      </c>
      <c r="C16" s="129"/>
      <c r="D16" s="130"/>
      <c r="E16" s="64">
        <f>SUM(E9:E15)*'Fane 15. Nøgletal'!C14</f>
        <v>500426.49092128867</v>
      </c>
      <c r="F16" s="8" t="s">
        <v>3</v>
      </c>
      <c r="G16" s="1"/>
    </row>
    <row r="17" spans="1:7" x14ac:dyDescent="0.25">
      <c r="A17" s="1"/>
      <c r="B17" s="128" t="s">
        <v>10</v>
      </c>
      <c r="C17" s="129"/>
      <c r="D17" s="130"/>
      <c r="E17" s="64">
        <v>-1019811.5404003854</v>
      </c>
      <c r="F17" s="8" t="s">
        <v>3</v>
      </c>
      <c r="G17" s="1"/>
    </row>
    <row r="18" spans="1:7" x14ac:dyDescent="0.25">
      <c r="A18" s="1"/>
      <c r="B18" s="128" t="s">
        <v>25</v>
      </c>
      <c r="C18" s="129"/>
      <c r="D18" s="130"/>
      <c r="E18" s="64">
        <f>-'Fane 4.1. Gen. krav - drift'!G42</f>
        <v>-879868.17727551586</v>
      </c>
      <c r="F18" s="8" t="s">
        <v>3</v>
      </c>
      <c r="G18" s="1"/>
    </row>
    <row r="19" spans="1:7" x14ac:dyDescent="0.25">
      <c r="A19" s="1"/>
      <c r="B19" s="128" t="s">
        <v>26</v>
      </c>
      <c r="C19" s="129"/>
      <c r="D19" s="130"/>
      <c r="E19" s="64">
        <f>-'Fane 4.2. Gen. krav - anlæg'!G41</f>
        <v>-1608451.9504540358</v>
      </c>
      <c r="F19" s="8" t="s">
        <v>3</v>
      </c>
      <c r="G19" s="1"/>
    </row>
    <row r="20" spans="1:7" x14ac:dyDescent="0.25">
      <c r="A20" s="1"/>
      <c r="B20" s="131" t="s">
        <v>21</v>
      </c>
      <c r="C20" s="132"/>
      <c r="D20" s="133"/>
      <c r="E20" s="65">
        <f>SUM(E9:E19)</f>
        <v>148636686.01106066</v>
      </c>
      <c r="F20" s="45" t="s">
        <v>3</v>
      </c>
      <c r="G20" s="1"/>
    </row>
    <row r="21" spans="1:7" x14ac:dyDescent="0.25">
      <c r="A21" s="1"/>
      <c r="B21" s="32" t="s">
        <v>12</v>
      </c>
      <c r="C21" s="33"/>
      <c r="D21" s="33"/>
      <c r="E21" s="66"/>
      <c r="F21" s="20"/>
      <c r="G21" s="1"/>
    </row>
    <row r="22" spans="1:7" ht="14.25" customHeight="1" x14ac:dyDescent="0.25">
      <c r="A22" s="1"/>
      <c r="B22" s="125" t="s">
        <v>12</v>
      </c>
      <c r="C22" s="126"/>
      <c r="D22" s="127"/>
      <c r="E22" s="67">
        <v>4456826.8261457607</v>
      </c>
      <c r="F22" s="10" t="s">
        <v>3</v>
      </c>
      <c r="G22" s="1"/>
    </row>
    <row r="23" spans="1:7" ht="14.25" customHeight="1" x14ac:dyDescent="0.25">
      <c r="A23" s="1"/>
      <c r="B23" s="32" t="s">
        <v>74</v>
      </c>
      <c r="C23" s="33"/>
      <c r="D23" s="33"/>
      <c r="E23" s="66"/>
      <c r="F23" s="20"/>
      <c r="G23" s="1"/>
    </row>
    <row r="24" spans="1:7" x14ac:dyDescent="0.25">
      <c r="A24" s="1"/>
      <c r="B24" s="134" t="s">
        <v>74</v>
      </c>
      <c r="C24" s="135"/>
      <c r="D24" s="136"/>
      <c r="E24" s="67">
        <v>0</v>
      </c>
      <c r="F24" s="10" t="s">
        <v>3</v>
      </c>
      <c r="G24" s="1"/>
    </row>
    <row r="25" spans="1:7" x14ac:dyDescent="0.25">
      <c r="A25" s="1"/>
      <c r="B25" s="32" t="s">
        <v>73</v>
      </c>
      <c r="C25" s="33"/>
      <c r="D25" s="33"/>
      <c r="E25" s="66"/>
      <c r="F25" s="20"/>
      <c r="G25" s="1"/>
    </row>
    <row r="26" spans="1:7" ht="15.4" customHeight="1" x14ac:dyDescent="0.25">
      <c r="A26" s="1"/>
      <c r="B26" s="137" t="s">
        <v>69</v>
      </c>
      <c r="C26" s="138"/>
      <c r="D26" s="139"/>
      <c r="E26" s="68">
        <v>724613.30658480979</v>
      </c>
      <c r="F26" s="8" t="s">
        <v>3</v>
      </c>
      <c r="G26" s="1"/>
    </row>
    <row r="27" spans="1:7" ht="15.75" customHeight="1" x14ac:dyDescent="0.25">
      <c r="A27" s="1"/>
      <c r="B27" s="137" t="s">
        <v>70</v>
      </c>
      <c r="C27" s="138"/>
      <c r="D27" s="139"/>
      <c r="E27" s="68">
        <v>0</v>
      </c>
      <c r="F27" s="8" t="s">
        <v>3</v>
      </c>
      <c r="G27" s="1"/>
    </row>
    <row r="28" spans="1:7" x14ac:dyDescent="0.25">
      <c r="A28" s="1"/>
      <c r="B28" s="81" t="s">
        <v>75</v>
      </c>
      <c r="C28" s="36"/>
      <c r="D28" s="37"/>
      <c r="E28" s="67">
        <f>SUM(E26:E27)</f>
        <v>724613.30658480979</v>
      </c>
      <c r="F28" s="11" t="s">
        <v>3</v>
      </c>
      <c r="G28" s="1"/>
    </row>
    <row r="29" spans="1:7" x14ac:dyDescent="0.25">
      <c r="A29" s="1"/>
      <c r="B29" s="32" t="s">
        <v>136</v>
      </c>
      <c r="C29" s="33"/>
      <c r="D29" s="33"/>
      <c r="E29" s="66"/>
      <c r="F29" s="20"/>
      <c r="G29" s="1"/>
    </row>
    <row r="30" spans="1:7" ht="15" customHeight="1" x14ac:dyDescent="0.25">
      <c r="A30" s="1"/>
      <c r="B30" s="125" t="s">
        <v>136</v>
      </c>
      <c r="C30" s="126"/>
      <c r="D30" s="127"/>
      <c r="E30" s="67">
        <v>-100231</v>
      </c>
      <c r="F30" s="11" t="s">
        <v>3</v>
      </c>
      <c r="G30" s="1"/>
    </row>
    <row r="31" spans="1:7" ht="15" customHeight="1" x14ac:dyDescent="0.25">
      <c r="A31" s="1"/>
      <c r="B31" s="32" t="s">
        <v>131</v>
      </c>
      <c r="C31" s="32"/>
      <c r="D31" s="32"/>
      <c r="E31" s="66"/>
      <c r="F31" s="20"/>
      <c r="G31" s="1"/>
    </row>
    <row r="32" spans="1:7" ht="15" customHeight="1" x14ac:dyDescent="0.25">
      <c r="A32" s="1"/>
      <c r="B32" s="125" t="s">
        <v>189</v>
      </c>
      <c r="C32" s="126"/>
      <c r="D32" s="127"/>
      <c r="E32" s="67">
        <v>0</v>
      </c>
      <c r="F32" s="11" t="s">
        <v>3</v>
      </c>
      <c r="G32" s="1"/>
    </row>
    <row r="33" spans="1:7" ht="15" customHeight="1" x14ac:dyDescent="0.25">
      <c r="A33" s="1"/>
      <c r="B33" s="34" t="s">
        <v>178</v>
      </c>
      <c r="C33" s="34"/>
      <c r="D33" s="34"/>
      <c r="E33" s="66"/>
      <c r="F33" s="20"/>
      <c r="G33" s="1"/>
    </row>
    <row r="34" spans="1:7" ht="15" customHeight="1" x14ac:dyDescent="0.25">
      <c r="A34" s="1"/>
      <c r="B34" s="94" t="s">
        <v>179</v>
      </c>
      <c r="C34" s="94"/>
      <c r="D34" s="94"/>
      <c r="E34" s="67">
        <f>'Fane 8. Skattesagen'!G11</f>
        <v>0</v>
      </c>
      <c r="F34" s="11" t="s">
        <v>3</v>
      </c>
      <c r="G34" s="1"/>
    </row>
    <row r="35" spans="1:7" x14ac:dyDescent="0.25">
      <c r="A35" s="1"/>
      <c r="B35" s="46" t="s">
        <v>29</v>
      </c>
      <c r="C35" s="48"/>
      <c r="D35" s="48"/>
      <c r="E35" s="69">
        <f>E20+E22+E24+E28+E30+E32+E34</f>
        <v>153717895.14379123</v>
      </c>
      <c r="F35" s="47" t="s">
        <v>3</v>
      </c>
      <c r="G35" s="1"/>
    </row>
    <row r="36" spans="1:7" ht="27" customHeight="1" x14ac:dyDescent="0.25">
      <c r="A36" s="1"/>
      <c r="B36" s="122" t="s">
        <v>202</v>
      </c>
      <c r="C36" s="123"/>
      <c r="D36" s="123"/>
      <c r="E36" s="123"/>
      <c r="F36" s="124"/>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43"/>
      <c r="B49" s="43"/>
      <c r="C49" s="43"/>
      <c r="D49" s="43"/>
      <c r="E49" s="43"/>
      <c r="F49" s="43"/>
      <c r="G49" s="43"/>
    </row>
    <row r="50" spans="1:7" x14ac:dyDescent="0.25">
      <c r="A50" s="43"/>
      <c r="B50" s="43"/>
      <c r="C50" s="43"/>
      <c r="D50" s="43"/>
      <c r="E50" s="43"/>
      <c r="F50" s="43"/>
      <c r="G50" s="43"/>
    </row>
    <row r="51" spans="1:7" x14ac:dyDescent="0.25">
      <c r="A51" s="43"/>
      <c r="B51" s="43"/>
      <c r="C51" s="43"/>
      <c r="D51" s="43"/>
      <c r="E51" s="43"/>
      <c r="F51" s="43"/>
      <c r="G51" s="43"/>
    </row>
  </sheetData>
  <sheetProtection algorithmName="SHA-512" hashValue="KzOYfHElSgJiSDvtfUkECbQ1lzTo3CjT+pZG2bF13NxlF1UXt9sLj8X6IowDnMIkemnUfu6T+waYsnYva7hXsg==" saltValue="EHhiDX4fe3NVc1ym04x5Kg==" spinCount="100000" sheet="1" objects="1" scenarios="1"/>
  <mergeCells count="20">
    <mergeCell ref="B3:F4"/>
    <mergeCell ref="B9:D9"/>
    <mergeCell ref="B12:D12"/>
    <mergeCell ref="B13:D13"/>
    <mergeCell ref="B10:D10"/>
    <mergeCell ref="B11:D11"/>
    <mergeCell ref="B36:F36"/>
    <mergeCell ref="B30:D30"/>
    <mergeCell ref="B14:D14"/>
    <mergeCell ref="B15:D15"/>
    <mergeCell ref="B16:D16"/>
    <mergeCell ref="B17:D17"/>
    <mergeCell ref="B18:D18"/>
    <mergeCell ref="B22:D22"/>
    <mergeCell ref="B19:D19"/>
    <mergeCell ref="B20:D20"/>
    <mergeCell ref="B24:D24"/>
    <mergeCell ref="B26:D26"/>
    <mergeCell ref="B27:D27"/>
    <mergeCell ref="B32:D3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8"/>
  <sheetViews>
    <sheetView showGridLines="0" view="pageLayout" zoomScaleNormal="100" workbookViewId="0"/>
  </sheetViews>
  <sheetFormatPr defaultColWidth="9" defaultRowHeight="15" x14ac:dyDescent="0.25"/>
  <cols>
    <col min="1" max="1" width="6" style="2" customWidth="1"/>
    <col min="2" max="5" width="9" style="2"/>
    <col min="6" max="6" width="21.42578125" style="2" customWidth="1"/>
    <col min="7" max="7" width="12.85546875" style="61" customWidth="1"/>
    <col min="8" max="8" width="4.42578125" style="2" customWidth="1"/>
    <col min="9" max="9" width="6.7109375" style="2" customWidth="1"/>
    <col min="10" max="16384" width="9" style="2"/>
  </cols>
  <sheetData>
    <row r="1" spans="1:9" ht="15" customHeight="1" x14ac:dyDescent="0.25">
      <c r="A1" s="1"/>
      <c r="B1" s="140" t="s">
        <v>99</v>
      </c>
      <c r="C1" s="140"/>
      <c r="D1" s="140"/>
      <c r="E1" s="140"/>
      <c r="F1" s="140"/>
      <c r="G1" s="140"/>
      <c r="H1" s="140"/>
      <c r="I1" s="1"/>
    </row>
    <row r="2" spans="1:9" ht="15" customHeight="1" x14ac:dyDescent="0.25">
      <c r="A2" s="1"/>
      <c r="B2" s="140"/>
      <c r="C2" s="140"/>
      <c r="D2" s="140"/>
      <c r="E2" s="140"/>
      <c r="F2" s="140"/>
      <c r="G2" s="140"/>
      <c r="H2" s="140"/>
      <c r="I2" s="1"/>
    </row>
    <row r="3" spans="1:9" ht="15" customHeight="1" x14ac:dyDescent="0.25">
      <c r="A3" s="1"/>
      <c r="B3" s="140"/>
      <c r="C3" s="140"/>
      <c r="D3" s="140"/>
      <c r="E3" s="140"/>
      <c r="F3" s="140"/>
      <c r="G3" s="140"/>
      <c r="H3" s="140"/>
      <c r="I3" s="1"/>
    </row>
    <row r="4" spans="1:9" x14ac:dyDescent="0.25">
      <c r="A4" s="1"/>
      <c r="B4" s="150" t="s">
        <v>154</v>
      </c>
      <c r="C4" s="151"/>
      <c r="D4" s="151"/>
      <c r="E4" s="151"/>
      <c r="F4" s="151"/>
      <c r="G4" s="151"/>
      <c r="H4" s="153"/>
      <c r="I4" s="1"/>
    </row>
    <row r="5" spans="1:9" x14ac:dyDescent="0.25">
      <c r="A5" s="1"/>
      <c r="B5" s="147" t="s">
        <v>155</v>
      </c>
      <c r="C5" s="148"/>
      <c r="D5" s="148"/>
      <c r="E5" s="148"/>
      <c r="F5" s="149"/>
      <c r="G5" s="24">
        <v>45109800</v>
      </c>
      <c r="H5" s="14" t="s">
        <v>3</v>
      </c>
      <c r="I5" s="1"/>
    </row>
    <row r="6" spans="1:9" ht="15" customHeight="1" x14ac:dyDescent="0.25">
      <c r="A6" s="1"/>
      <c r="B6" s="122" t="s">
        <v>156</v>
      </c>
      <c r="C6" s="123"/>
      <c r="D6" s="123"/>
      <c r="E6" s="123"/>
      <c r="F6" s="124"/>
      <c r="G6" s="70">
        <v>0</v>
      </c>
      <c r="H6" s="14" t="s">
        <v>3</v>
      </c>
      <c r="I6" s="1"/>
    </row>
    <row r="7" spans="1:9" x14ac:dyDescent="0.25">
      <c r="A7" s="1"/>
      <c r="B7" s="147" t="s">
        <v>157</v>
      </c>
      <c r="C7" s="148"/>
      <c r="D7" s="148"/>
      <c r="E7" s="148"/>
      <c r="F7" s="149"/>
      <c r="G7" s="70">
        <f>SUM(G5:G6)*'Fane 15. Nøgletal'!C31</f>
        <v>902196</v>
      </c>
      <c r="H7" s="14" t="s">
        <v>3</v>
      </c>
      <c r="I7" s="1"/>
    </row>
    <row r="8" spans="1:9" x14ac:dyDescent="0.25">
      <c r="A8" s="1"/>
      <c r="B8" s="32"/>
      <c r="C8" s="33"/>
      <c r="D8" s="33"/>
      <c r="E8" s="33"/>
      <c r="F8" s="33"/>
      <c r="G8" s="71"/>
      <c r="H8" s="20"/>
      <c r="I8" s="1"/>
    </row>
    <row r="9" spans="1:9" x14ac:dyDescent="0.25">
      <c r="A9" s="1"/>
      <c r="B9" s="1"/>
      <c r="C9" s="1"/>
      <c r="D9" s="1"/>
      <c r="E9" s="1"/>
      <c r="F9" s="1"/>
      <c r="G9" s="72"/>
      <c r="H9" s="1"/>
      <c r="I9" s="1"/>
    </row>
    <row r="10" spans="1:9" x14ac:dyDescent="0.25">
      <c r="A10" s="1"/>
      <c r="B10" s="150" t="s">
        <v>49</v>
      </c>
      <c r="C10" s="151"/>
      <c r="D10" s="151"/>
      <c r="E10" s="151"/>
      <c r="F10" s="151"/>
      <c r="G10" s="152"/>
      <c r="H10" s="153"/>
      <c r="I10" s="1"/>
    </row>
    <row r="11" spans="1:9" x14ac:dyDescent="0.25">
      <c r="A11" s="1"/>
      <c r="B11" s="147" t="s">
        <v>158</v>
      </c>
      <c r="C11" s="148"/>
      <c r="D11" s="148"/>
      <c r="E11" s="148"/>
      <c r="F11" s="149"/>
      <c r="G11" s="70">
        <f>(G5-G7)*(1+'Fane 15. Nøgletal'!C10)</f>
        <v>44981237.07</v>
      </c>
      <c r="H11" s="14" t="s">
        <v>3</v>
      </c>
      <c r="I11" s="1"/>
    </row>
    <row r="12" spans="1:9" x14ac:dyDescent="0.25">
      <c r="A12" s="1"/>
      <c r="B12" s="147" t="s">
        <v>110</v>
      </c>
      <c r="C12" s="148"/>
      <c r="D12" s="148"/>
      <c r="E12" s="148"/>
      <c r="F12" s="149"/>
      <c r="G12" s="70">
        <v>-34901.024410154503</v>
      </c>
      <c r="H12" s="14" t="s">
        <v>3</v>
      </c>
      <c r="I12" s="1"/>
    </row>
    <row r="13" spans="1:9" x14ac:dyDescent="0.25">
      <c r="A13" s="1"/>
      <c r="B13" s="122" t="s">
        <v>108</v>
      </c>
      <c r="C13" s="123"/>
      <c r="D13" s="123"/>
      <c r="E13" s="123"/>
      <c r="F13" s="124"/>
      <c r="G13" s="70">
        <v>0</v>
      </c>
      <c r="H13" s="14" t="s">
        <v>3</v>
      </c>
      <c r="I13" s="1"/>
    </row>
    <row r="14" spans="1:9" x14ac:dyDescent="0.25">
      <c r="A14" s="1"/>
      <c r="B14" s="144" t="s">
        <v>159</v>
      </c>
      <c r="C14" s="145"/>
      <c r="D14" s="145"/>
      <c r="E14" s="145"/>
      <c r="F14" s="146"/>
      <c r="G14" s="70">
        <v>0</v>
      </c>
      <c r="H14" s="14" t="s">
        <v>3</v>
      </c>
      <c r="I14" s="1"/>
    </row>
    <row r="15" spans="1:9" x14ac:dyDescent="0.25">
      <c r="A15" s="1"/>
      <c r="B15" s="147" t="s">
        <v>42</v>
      </c>
      <c r="C15" s="148"/>
      <c r="D15" s="148"/>
      <c r="E15" s="148"/>
      <c r="F15" s="149"/>
      <c r="G15" s="70">
        <f>SUM(G11:G14)*'Fane 15. Nøgletal'!C31</f>
        <v>898926.72091179702</v>
      </c>
      <c r="H15" s="14" t="s">
        <v>3</v>
      </c>
      <c r="I15" s="1"/>
    </row>
    <row r="16" spans="1:9" x14ac:dyDescent="0.25">
      <c r="A16" s="1"/>
      <c r="B16" s="32"/>
      <c r="C16" s="33"/>
      <c r="D16" s="33"/>
      <c r="E16" s="33"/>
      <c r="F16" s="33"/>
      <c r="G16" s="71"/>
      <c r="H16" s="20"/>
      <c r="I16" s="1"/>
    </row>
    <row r="17" spans="1:9" x14ac:dyDescent="0.25">
      <c r="A17" s="1"/>
      <c r="B17" s="1"/>
      <c r="C17" s="1"/>
      <c r="D17" s="1"/>
      <c r="E17" s="1"/>
      <c r="F17" s="1"/>
      <c r="G17" s="72"/>
      <c r="H17" s="1"/>
      <c r="I17" s="1"/>
    </row>
    <row r="18" spans="1:9" x14ac:dyDescent="0.25">
      <c r="A18" s="1"/>
      <c r="B18" s="150" t="s">
        <v>50</v>
      </c>
      <c r="C18" s="151"/>
      <c r="D18" s="151"/>
      <c r="E18" s="151"/>
      <c r="F18" s="151"/>
      <c r="G18" s="152"/>
      <c r="H18" s="153"/>
      <c r="I18" s="1"/>
    </row>
    <row r="19" spans="1:9" x14ac:dyDescent="0.25">
      <c r="A19" s="1"/>
      <c r="B19" s="147" t="s">
        <v>43</v>
      </c>
      <c r="C19" s="148"/>
      <c r="D19" s="148"/>
      <c r="E19" s="148"/>
      <c r="F19" s="149"/>
      <c r="G19" s="70">
        <f>(G11+G12+G14-G15)*(1+'Fane 15. Nøgletal'!C10)</f>
        <v>44818238.987859927</v>
      </c>
      <c r="H19" s="14" t="s">
        <v>3</v>
      </c>
      <c r="I19" s="1"/>
    </row>
    <row r="20" spans="1:9" x14ac:dyDescent="0.25">
      <c r="A20" s="1"/>
      <c r="B20" s="144" t="s">
        <v>44</v>
      </c>
      <c r="C20" s="145"/>
      <c r="D20" s="145"/>
      <c r="E20" s="145"/>
      <c r="F20" s="146"/>
      <c r="G20" s="70">
        <v>0</v>
      </c>
      <c r="H20" s="14" t="s">
        <v>3</v>
      </c>
      <c r="I20" s="1"/>
    </row>
    <row r="21" spans="1:9" x14ac:dyDescent="0.25">
      <c r="A21" s="1"/>
      <c r="B21" s="147" t="s">
        <v>45</v>
      </c>
      <c r="C21" s="148"/>
      <c r="D21" s="148"/>
      <c r="E21" s="148"/>
      <c r="F21" s="149"/>
      <c r="G21" s="70">
        <f>(G19+G20)*'Fane 15. Nøgletal'!C31</f>
        <v>896364.77975719853</v>
      </c>
      <c r="H21" s="14" t="s">
        <v>3</v>
      </c>
      <c r="I21" s="1"/>
    </row>
    <row r="22" spans="1:9" x14ac:dyDescent="0.25">
      <c r="A22" s="1"/>
      <c r="B22" s="32"/>
      <c r="C22" s="33"/>
      <c r="D22" s="33"/>
      <c r="E22" s="33"/>
      <c r="F22" s="33"/>
      <c r="G22" s="71"/>
      <c r="H22" s="20"/>
      <c r="I22" s="1"/>
    </row>
    <row r="23" spans="1:9" x14ac:dyDescent="0.25">
      <c r="A23" s="1"/>
      <c r="B23" s="1"/>
      <c r="C23" s="1"/>
      <c r="D23" s="1"/>
      <c r="E23" s="1"/>
      <c r="F23" s="1"/>
      <c r="G23" s="72"/>
      <c r="H23" s="1"/>
      <c r="I23" s="1"/>
    </row>
    <row r="24" spans="1:9" x14ac:dyDescent="0.25">
      <c r="A24" s="1"/>
      <c r="B24" s="150" t="s">
        <v>51</v>
      </c>
      <c r="C24" s="151"/>
      <c r="D24" s="151"/>
      <c r="E24" s="151"/>
      <c r="F24" s="151"/>
      <c r="G24" s="152"/>
      <c r="H24" s="153"/>
      <c r="I24" s="1"/>
    </row>
    <row r="25" spans="1:9" x14ac:dyDescent="0.25">
      <c r="A25" s="1"/>
      <c r="B25" s="147" t="s">
        <v>46</v>
      </c>
      <c r="C25" s="148"/>
      <c r="D25" s="148"/>
      <c r="E25" s="148"/>
      <c r="F25" s="149"/>
      <c r="G25" s="70">
        <f>G19*(1-'Fane 15. Nøgletal'!C31)*(1+'Fane 15. Nøgletal'!C10)+G20*(1-'Fane 15. Nøgletal'!C31)*(1+'Fane 15. Nøgletal'!C11)</f>
        <v>44690507.006744526</v>
      </c>
      <c r="H25" s="14" t="s">
        <v>3</v>
      </c>
      <c r="I25" s="1"/>
    </row>
    <row r="26" spans="1:9" x14ac:dyDescent="0.25">
      <c r="A26" s="1"/>
      <c r="B26" s="154" t="s">
        <v>160</v>
      </c>
      <c r="C26" s="155"/>
      <c r="D26" s="155"/>
      <c r="E26" s="155"/>
      <c r="F26" s="156"/>
      <c r="G26" s="70">
        <f>G20*(1-'Fane 15. Nøgletal'!C31)*(1+'Fane 15. Nøgletal'!C11)</f>
        <v>0</v>
      </c>
      <c r="H26" s="14" t="s">
        <v>3</v>
      </c>
      <c r="I26" s="1"/>
    </row>
    <row r="27" spans="1:9" x14ac:dyDescent="0.25">
      <c r="A27" s="1"/>
      <c r="B27" s="144" t="s">
        <v>47</v>
      </c>
      <c r="C27" s="145"/>
      <c r="D27" s="145"/>
      <c r="E27" s="145"/>
      <c r="F27" s="146"/>
      <c r="G27" s="70">
        <v>22140.207800370004</v>
      </c>
      <c r="H27" s="14" t="s">
        <v>3</v>
      </c>
      <c r="I27" s="1"/>
    </row>
    <row r="28" spans="1:9" x14ac:dyDescent="0.25">
      <c r="A28" s="1"/>
      <c r="B28" s="147" t="s">
        <v>48</v>
      </c>
      <c r="C28" s="148"/>
      <c r="D28" s="148"/>
      <c r="E28" s="148"/>
      <c r="F28" s="149"/>
      <c r="G28" s="70">
        <f>SUM(G25,G27)*'Fane 15. Nøgletal'!C31</f>
        <v>894252.94429089804</v>
      </c>
      <c r="H28" s="14" t="s">
        <v>3</v>
      </c>
      <c r="I28" s="1"/>
    </row>
    <row r="29" spans="1:9" x14ac:dyDescent="0.25">
      <c r="A29" s="1"/>
      <c r="B29" s="32"/>
      <c r="C29" s="33"/>
      <c r="D29" s="33"/>
      <c r="E29" s="33"/>
      <c r="F29" s="33"/>
      <c r="G29" s="71"/>
      <c r="H29" s="20"/>
      <c r="I29" s="1"/>
    </row>
    <row r="30" spans="1:9" x14ac:dyDescent="0.25">
      <c r="A30" s="1"/>
      <c r="B30" s="1"/>
      <c r="C30" s="1"/>
      <c r="D30" s="1"/>
      <c r="E30" s="1"/>
      <c r="F30" s="1"/>
      <c r="G30" s="72"/>
      <c r="H30" s="1"/>
      <c r="I30" s="1"/>
    </row>
    <row r="31" spans="1:9" x14ac:dyDescent="0.25">
      <c r="A31" s="1"/>
      <c r="B31" s="150" t="s">
        <v>52</v>
      </c>
      <c r="C31" s="151"/>
      <c r="D31" s="151"/>
      <c r="E31" s="151"/>
      <c r="F31" s="151"/>
      <c r="G31" s="152"/>
      <c r="H31" s="153"/>
      <c r="I31" s="1"/>
    </row>
    <row r="32" spans="1:9" x14ac:dyDescent="0.25">
      <c r="A32" s="1"/>
      <c r="B32" s="147" t="s">
        <v>53</v>
      </c>
      <c r="C32" s="148"/>
      <c r="D32" s="148"/>
      <c r="E32" s="148"/>
      <c r="F32" s="149"/>
      <c r="G32" s="70">
        <f>(G25-G26)*(1-'Fane 15. Nøgletal'!C31)*(1+'Fane 15. Nøgletal'!C10)+G26*(1-'Fane 15. Nøgletal'!C31)*(1+'Fane 15. Nøgletal'!C11)+G27*(1-'Fane 15. Nøgletal'!C31)*(1+'Fane 15. Nøgletal'!C12)</f>
        <v>44585263.904271461</v>
      </c>
      <c r="H32" s="14" t="s">
        <v>3</v>
      </c>
      <c r="I32" s="1"/>
    </row>
    <row r="33" spans="1:9" x14ac:dyDescent="0.25">
      <c r="A33" s="1"/>
      <c r="B33" s="154" t="s">
        <v>160</v>
      </c>
      <c r="C33" s="145"/>
      <c r="D33" s="145"/>
      <c r="E33" s="145"/>
      <c r="F33" s="146"/>
      <c r="G33" s="70">
        <f>G26*(1-'Fane 15. Nøgletal'!C31)*(1+'Fane 15. Nøgletal'!C11)</f>
        <v>0</v>
      </c>
      <c r="H33" s="14" t="s">
        <v>3</v>
      </c>
      <c r="I33" s="1"/>
    </row>
    <row r="34" spans="1:9" x14ac:dyDescent="0.25">
      <c r="A34" s="1"/>
      <c r="B34" s="154" t="s">
        <v>107</v>
      </c>
      <c r="C34" s="145"/>
      <c r="D34" s="145"/>
      <c r="E34" s="145"/>
      <c r="F34" s="146"/>
      <c r="G34" s="70">
        <f>G27*(1-'Fane 15. Nøgletal'!C31)*(1+'Fane 15. Nøgletal'!C12)</f>
        <v>22124.842496156547</v>
      </c>
      <c r="H34" s="14" t="s">
        <v>3</v>
      </c>
      <c r="I34" s="1"/>
    </row>
    <row r="35" spans="1:9" x14ac:dyDescent="0.25">
      <c r="A35" s="1"/>
      <c r="B35" s="147" t="s">
        <v>123</v>
      </c>
      <c r="C35" s="148"/>
      <c r="D35" s="148"/>
      <c r="E35" s="148"/>
      <c r="F35" s="149"/>
      <c r="G35" s="70">
        <v>59939.180786519995</v>
      </c>
      <c r="H35" s="14" t="s">
        <v>3</v>
      </c>
      <c r="I35" s="1"/>
    </row>
    <row r="36" spans="1:9" x14ac:dyDescent="0.25">
      <c r="A36" s="1"/>
      <c r="B36" s="147" t="s">
        <v>54</v>
      </c>
      <c r="C36" s="148"/>
      <c r="D36" s="148"/>
      <c r="E36" s="148"/>
      <c r="F36" s="149"/>
      <c r="G36" s="70">
        <f>SUM(G32,G35)*'Fane 15. Nøgletal'!C31</f>
        <v>892904.06170115969</v>
      </c>
      <c r="H36" s="14" t="s">
        <v>3</v>
      </c>
      <c r="I36" s="1"/>
    </row>
    <row r="37" spans="1:9" x14ac:dyDescent="0.25">
      <c r="A37" s="1"/>
      <c r="B37" s="32"/>
      <c r="C37" s="33"/>
      <c r="D37" s="33"/>
      <c r="E37" s="33"/>
      <c r="F37" s="33"/>
      <c r="G37" s="71"/>
      <c r="H37" s="20"/>
      <c r="I37" s="1"/>
    </row>
    <row r="38" spans="1:9" x14ac:dyDescent="0.25">
      <c r="A38" s="1"/>
      <c r="B38" s="1"/>
      <c r="C38" s="1"/>
      <c r="D38" s="1"/>
      <c r="E38" s="1"/>
      <c r="F38" s="1"/>
      <c r="G38" s="72"/>
      <c r="H38" s="1"/>
      <c r="I38" s="1"/>
    </row>
    <row r="39" spans="1:9" x14ac:dyDescent="0.25">
      <c r="A39" s="1"/>
      <c r="B39" s="150" t="s">
        <v>139</v>
      </c>
      <c r="C39" s="151"/>
      <c r="D39" s="151"/>
      <c r="E39" s="151"/>
      <c r="F39" s="151"/>
      <c r="G39" s="152"/>
      <c r="H39" s="153"/>
      <c r="I39" s="1"/>
    </row>
    <row r="40" spans="1:9" x14ac:dyDescent="0.25">
      <c r="A40" s="1"/>
      <c r="B40" s="147" t="s">
        <v>166</v>
      </c>
      <c r="C40" s="148"/>
      <c r="D40" s="148"/>
      <c r="E40" s="148"/>
      <c r="F40" s="149"/>
      <c r="G40" s="70">
        <f>(SUM(G32,G35)-G36)*(1+'Fane 15. Nøgletal'!C14)</f>
        <v>43896681.610133909</v>
      </c>
      <c r="H40" s="14" t="s">
        <v>3</v>
      </c>
      <c r="I40" s="1"/>
    </row>
    <row r="41" spans="1:9" x14ac:dyDescent="0.25">
      <c r="A41" s="1"/>
      <c r="B41" s="147" t="s">
        <v>165</v>
      </c>
      <c r="C41" s="148"/>
      <c r="D41" s="148"/>
      <c r="E41" s="148"/>
      <c r="F41" s="149"/>
      <c r="G41" s="73">
        <v>96727.253641880015</v>
      </c>
      <c r="H41" s="14" t="s">
        <v>3</v>
      </c>
      <c r="I41" s="1"/>
    </row>
    <row r="42" spans="1:9" x14ac:dyDescent="0.25">
      <c r="A42" s="1"/>
      <c r="B42" s="147" t="s">
        <v>164</v>
      </c>
      <c r="C42" s="148"/>
      <c r="D42" s="148"/>
      <c r="E42" s="148"/>
      <c r="F42" s="149"/>
      <c r="G42" s="70">
        <f>(G40+G41)*'Fane 15. Nøgletal'!C31</f>
        <v>879868.17727551586</v>
      </c>
      <c r="H42" s="14" t="s">
        <v>3</v>
      </c>
      <c r="I42" s="1"/>
    </row>
    <row r="43" spans="1:9" x14ac:dyDescent="0.25">
      <c r="A43" s="1"/>
      <c r="B43" s="32"/>
      <c r="C43" s="33"/>
      <c r="D43" s="33"/>
      <c r="E43" s="33"/>
      <c r="F43" s="33"/>
      <c r="G43" s="71"/>
      <c r="H43" s="20"/>
      <c r="I43" s="1"/>
    </row>
    <row r="44" spans="1:9" x14ac:dyDescent="0.25">
      <c r="A44" s="1"/>
      <c r="B44" s="1"/>
      <c r="C44" s="1"/>
      <c r="D44" s="1"/>
      <c r="E44" s="1"/>
      <c r="F44" s="1"/>
      <c r="G44" s="72"/>
      <c r="H44" s="1"/>
      <c r="I44" s="1"/>
    </row>
    <row r="45" spans="1:9" x14ac:dyDescent="0.25">
      <c r="A45" s="1"/>
      <c r="B45" s="150" t="s">
        <v>151</v>
      </c>
      <c r="C45" s="151"/>
      <c r="D45" s="151"/>
      <c r="E45" s="151"/>
      <c r="F45" s="151"/>
      <c r="G45" s="152"/>
      <c r="H45" s="153"/>
      <c r="I45" s="1"/>
    </row>
    <row r="46" spans="1:9" x14ac:dyDescent="0.25">
      <c r="A46" s="1"/>
      <c r="B46" s="147" t="s">
        <v>175</v>
      </c>
      <c r="C46" s="148"/>
      <c r="D46" s="148"/>
      <c r="E46" s="148"/>
      <c r="F46" s="149"/>
      <c r="G46" s="70">
        <f>(G40+G41-G42)*(1+'Fane 15. Nøgletal'!C14)</f>
        <v>43255815.370765731</v>
      </c>
      <c r="H46" s="14" t="s">
        <v>3</v>
      </c>
      <c r="I46" s="1"/>
    </row>
    <row r="47" spans="1:9" x14ac:dyDescent="0.25">
      <c r="A47" s="1"/>
      <c r="B47" s="154" t="s">
        <v>237</v>
      </c>
      <c r="C47" s="155"/>
      <c r="D47" s="155"/>
      <c r="E47" s="155"/>
      <c r="F47" s="156"/>
      <c r="G47" s="73">
        <f>('Fane 2.1. Økonomisk ramme 2023'!C12+'Fane 2.1. Økonomisk ramme 2023'!C14+'Fane 2.1. Økonomisk ramme 2023'!C16)*(1+'Fane 15. Nøgletal'!C15)</f>
        <v>120746.07570444483</v>
      </c>
      <c r="H47" s="14" t="s">
        <v>3</v>
      </c>
      <c r="I47" s="1"/>
    </row>
    <row r="48" spans="1:9" x14ac:dyDescent="0.25">
      <c r="A48" s="1"/>
      <c r="B48" s="147" t="s">
        <v>176</v>
      </c>
      <c r="C48" s="148"/>
      <c r="D48" s="148"/>
      <c r="E48" s="148"/>
      <c r="F48" s="149"/>
      <c r="G48" s="70">
        <f>G46*'Fane 15. Nøgletal'!C31+'Fane 4.1. Gen. krav - drift'!G47*'Fane 15. Nøgletal'!C31</f>
        <v>867531.22892940347</v>
      </c>
      <c r="H48" s="14" t="s">
        <v>3</v>
      </c>
      <c r="I48" s="1"/>
    </row>
    <row r="49" spans="1:9" x14ac:dyDescent="0.25">
      <c r="A49" s="1"/>
      <c r="B49" s="32"/>
      <c r="C49" s="33"/>
      <c r="D49" s="33"/>
      <c r="E49" s="33"/>
      <c r="F49" s="33"/>
      <c r="G49" s="71"/>
      <c r="H49" s="20"/>
      <c r="I49" s="1"/>
    </row>
    <row r="50" spans="1:9" x14ac:dyDescent="0.25">
      <c r="A50" s="1"/>
      <c r="B50" s="31"/>
      <c r="C50" s="31"/>
      <c r="D50" s="31"/>
      <c r="E50" s="31"/>
      <c r="F50" s="31"/>
      <c r="G50" s="74"/>
      <c r="H50" s="31"/>
      <c r="I50" s="1"/>
    </row>
    <row r="51" spans="1:9" x14ac:dyDescent="0.25">
      <c r="A51" s="1"/>
      <c r="B51" s="31"/>
      <c r="C51" s="31"/>
      <c r="D51" s="31"/>
      <c r="E51" s="31"/>
      <c r="F51" s="31"/>
      <c r="G51" s="74"/>
      <c r="H51" s="31"/>
      <c r="I51" s="1"/>
    </row>
    <row r="52" spans="1:9" x14ac:dyDescent="0.25">
      <c r="A52" s="1"/>
      <c r="B52" s="150" t="s">
        <v>124</v>
      </c>
      <c r="C52" s="151"/>
      <c r="D52" s="151"/>
      <c r="E52" s="151"/>
      <c r="F52" s="151"/>
      <c r="G52" s="152"/>
      <c r="H52" s="153"/>
      <c r="I52" s="1"/>
    </row>
    <row r="53" spans="1:9" x14ac:dyDescent="0.25">
      <c r="A53" s="1"/>
      <c r="B53" s="147" t="s">
        <v>125</v>
      </c>
      <c r="C53" s="148"/>
      <c r="D53" s="148"/>
      <c r="E53" s="148"/>
      <c r="F53" s="149"/>
      <c r="G53" s="70">
        <f>(G46+G47-G48)*(1+'Fane 15. Nøgletal'!C15)</f>
        <v>44022351.693285234</v>
      </c>
      <c r="H53" s="14" t="s">
        <v>3</v>
      </c>
      <c r="I53" s="1"/>
    </row>
    <row r="54" spans="1:9" x14ac:dyDescent="0.25">
      <c r="A54" s="1"/>
      <c r="B54" s="147" t="s">
        <v>126</v>
      </c>
      <c r="C54" s="148"/>
      <c r="D54" s="148"/>
      <c r="E54" s="148"/>
      <c r="F54" s="149"/>
      <c r="G54" s="70">
        <f>(G53)*'Fane 15. Nøgletal'!C31</f>
        <v>880447.03386570467</v>
      </c>
      <c r="H54" s="14" t="s">
        <v>3</v>
      </c>
      <c r="I54" s="1"/>
    </row>
    <row r="55" spans="1:9" x14ac:dyDescent="0.25">
      <c r="A55" s="1"/>
      <c r="B55" s="32"/>
      <c r="C55" s="33"/>
      <c r="D55" s="33"/>
      <c r="E55" s="33"/>
      <c r="F55" s="33"/>
      <c r="G55" s="71"/>
      <c r="H55" s="20"/>
      <c r="I55" s="1"/>
    </row>
    <row r="56" spans="1:9" x14ac:dyDescent="0.25">
      <c r="A56" s="1"/>
      <c r="B56" s="1"/>
      <c r="C56" s="1"/>
      <c r="D56" s="1"/>
      <c r="E56" s="1"/>
      <c r="F56" s="1"/>
      <c r="G56" s="72"/>
      <c r="H56" s="1"/>
      <c r="I56" s="1"/>
    </row>
    <row r="57" spans="1:9" x14ac:dyDescent="0.25">
      <c r="A57" s="1"/>
      <c r="B57" s="91" t="s">
        <v>152</v>
      </c>
      <c r="C57" s="92"/>
      <c r="D57" s="92"/>
      <c r="E57" s="92"/>
      <c r="F57" s="92"/>
      <c r="G57" s="75"/>
      <c r="H57" s="93"/>
      <c r="I57" s="1"/>
    </row>
    <row r="58" spans="1:9" x14ac:dyDescent="0.25">
      <c r="A58" s="1"/>
      <c r="B58" s="88" t="s">
        <v>161</v>
      </c>
      <c r="C58" s="89"/>
      <c r="D58" s="89"/>
      <c r="E58" s="89"/>
      <c r="F58" s="90"/>
      <c r="G58" s="70">
        <f>(G53-G54)*(1+'Fane 15. Nøgletal'!C15)</f>
        <v>44677756.465294868</v>
      </c>
      <c r="H58" s="14" t="s">
        <v>3</v>
      </c>
      <c r="I58" s="1"/>
    </row>
    <row r="59" spans="1:9" x14ac:dyDescent="0.25">
      <c r="A59" s="1"/>
      <c r="B59" s="88" t="s">
        <v>162</v>
      </c>
      <c r="C59" s="89"/>
      <c r="D59" s="89"/>
      <c r="E59" s="89"/>
      <c r="F59" s="90"/>
      <c r="G59" s="70">
        <f>(G58)*'Fane 15. Nøgletal'!C31</f>
        <v>893555.1293058974</v>
      </c>
      <c r="H59" s="14" t="s">
        <v>3</v>
      </c>
      <c r="I59" s="1"/>
    </row>
    <row r="60" spans="1:9" x14ac:dyDescent="0.25">
      <c r="A60" s="1"/>
      <c r="B60" s="32"/>
      <c r="C60" s="33"/>
      <c r="D60" s="33"/>
      <c r="E60" s="33"/>
      <c r="F60" s="33"/>
      <c r="G60" s="71"/>
      <c r="H60" s="20"/>
      <c r="I60" s="1"/>
    </row>
    <row r="61" spans="1:9" x14ac:dyDescent="0.25">
      <c r="A61" s="1"/>
      <c r="B61" s="1"/>
      <c r="C61" s="1"/>
      <c r="D61" s="1"/>
      <c r="E61" s="1"/>
      <c r="F61" s="1"/>
      <c r="G61" s="72"/>
      <c r="H61" s="1"/>
      <c r="I61" s="1"/>
    </row>
    <row r="62" spans="1:9" x14ac:dyDescent="0.25">
      <c r="A62" s="1"/>
      <c r="B62" s="91" t="s">
        <v>203</v>
      </c>
      <c r="C62" s="92"/>
      <c r="D62" s="92"/>
      <c r="E62" s="92"/>
      <c r="F62" s="92"/>
      <c r="G62" s="75"/>
      <c r="H62" s="93"/>
      <c r="I62" s="1"/>
    </row>
    <row r="63" spans="1:9" x14ac:dyDescent="0.25">
      <c r="A63" s="1"/>
      <c r="B63" s="88" t="s">
        <v>204</v>
      </c>
      <c r="C63" s="89"/>
      <c r="D63" s="89"/>
      <c r="E63" s="89"/>
      <c r="F63" s="90"/>
      <c r="G63" s="70">
        <f>(G58-G59)*(1+'Fane 15. Nøgletal'!C15)</f>
        <v>45342918.903550178</v>
      </c>
      <c r="H63" s="14" t="s">
        <v>3</v>
      </c>
      <c r="I63" s="1"/>
    </row>
    <row r="64" spans="1:9" x14ac:dyDescent="0.25">
      <c r="A64" s="1"/>
      <c r="B64" s="88" t="s">
        <v>205</v>
      </c>
      <c r="C64" s="89"/>
      <c r="D64" s="89"/>
      <c r="E64" s="89"/>
      <c r="F64" s="90"/>
      <c r="G64" s="70">
        <f>(G63)*'Fane 15. Nøgletal'!C31</f>
        <v>906858.37807100359</v>
      </c>
      <c r="H64" s="14" t="s">
        <v>3</v>
      </c>
      <c r="I64" s="1"/>
    </row>
    <row r="65" spans="1:9" x14ac:dyDescent="0.25">
      <c r="A65" s="1"/>
      <c r="B65" s="32"/>
      <c r="C65" s="33"/>
      <c r="D65" s="33"/>
      <c r="E65" s="33"/>
      <c r="F65" s="33"/>
      <c r="G65" s="59"/>
      <c r="H65" s="20"/>
      <c r="I65" s="1"/>
    </row>
    <row r="66" spans="1:9" x14ac:dyDescent="0.25">
      <c r="A66" s="1"/>
      <c r="B66" s="1"/>
      <c r="C66" s="1"/>
      <c r="D66" s="1"/>
      <c r="E66" s="1"/>
      <c r="F66" s="1"/>
      <c r="G66" s="60"/>
      <c r="H66" s="1"/>
      <c r="I66" s="1"/>
    </row>
    <row r="67" spans="1:9" x14ac:dyDescent="0.25">
      <c r="A67" s="1"/>
      <c r="B67" s="1"/>
      <c r="C67" s="1"/>
      <c r="D67" s="1"/>
      <c r="E67" s="1"/>
      <c r="F67" s="1"/>
      <c r="G67" s="60"/>
      <c r="H67" s="1"/>
      <c r="I67" s="1"/>
    </row>
    <row r="68" spans="1:9" x14ac:dyDescent="0.25">
      <c r="A68" s="1"/>
      <c r="B68" s="1"/>
      <c r="C68" s="1"/>
      <c r="D68" s="1"/>
      <c r="E68" s="1"/>
      <c r="F68" s="1"/>
      <c r="G68" s="60"/>
      <c r="H68" s="1"/>
      <c r="I68" s="1"/>
    </row>
  </sheetData>
  <sheetProtection algorithmName="SHA-512" hashValue="z8Ek3rXzkYX20yGOWvSF0QSZkLuHJ21SBeGnUs8TKnQdJ0NLQZx2X2TbujWmR7ghMfoRzHYz8rLxJJpM8bahFg==" saltValue="643XHvdT6RA4nVUjWj0oMg==" spinCount="100000" sheet="1" objects="1" scenarios="1"/>
  <mergeCells count="37">
    <mergeCell ref="B41:F41"/>
    <mergeCell ref="B47:F47"/>
    <mergeCell ref="B52:H52"/>
    <mergeCell ref="B53:F53"/>
    <mergeCell ref="B54:F54"/>
    <mergeCell ref="B48:F48"/>
    <mergeCell ref="B12:F12"/>
    <mergeCell ref="B28:F28"/>
    <mergeCell ref="B36:F36"/>
    <mergeCell ref="B45:H45"/>
    <mergeCell ref="B46:F46"/>
    <mergeCell ref="B39:H39"/>
    <mergeCell ref="B42:F42"/>
    <mergeCell ref="B40:F40"/>
    <mergeCell ref="B13:F13"/>
    <mergeCell ref="B35:F35"/>
    <mergeCell ref="B26:F26"/>
    <mergeCell ref="B33:F33"/>
    <mergeCell ref="B34:F34"/>
    <mergeCell ref="B18:H18"/>
    <mergeCell ref="B24:H24"/>
    <mergeCell ref="B32:F32"/>
    <mergeCell ref="B1:H3"/>
    <mergeCell ref="B4:H4"/>
    <mergeCell ref="B5:F5"/>
    <mergeCell ref="B7:F7"/>
    <mergeCell ref="B11:F11"/>
    <mergeCell ref="B10:H10"/>
    <mergeCell ref="B6:F6"/>
    <mergeCell ref="B14:F14"/>
    <mergeCell ref="B15:F15"/>
    <mergeCell ref="B19:F19"/>
    <mergeCell ref="B20:F20"/>
    <mergeCell ref="B31:H31"/>
    <mergeCell ref="B21:F21"/>
    <mergeCell ref="B25:F25"/>
    <mergeCell ref="B27:F27"/>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66"/>
  <sheetViews>
    <sheetView showGridLines="0" view="pageLayout" zoomScale="87" zoomScaleNormal="100" zoomScalePageLayoutView="87" workbookViewId="0"/>
  </sheetViews>
  <sheetFormatPr defaultColWidth="9" defaultRowHeight="15" x14ac:dyDescent="0.25"/>
  <cols>
    <col min="1" max="1" width="3.140625" style="2" customWidth="1"/>
    <col min="2" max="5" width="9" style="2"/>
    <col min="6" max="6" width="19.140625" style="2" customWidth="1"/>
    <col min="7" max="7" width="12" style="2" customWidth="1"/>
    <col min="8" max="8" width="3.5703125" style="2" customWidth="1"/>
    <col min="9" max="9" width="3.140625" style="2" customWidth="1"/>
    <col min="10" max="16384" width="9" style="2"/>
  </cols>
  <sheetData>
    <row r="1" spans="1:9" x14ac:dyDescent="0.25">
      <c r="A1" s="1"/>
      <c r="B1" s="1"/>
      <c r="C1" s="1"/>
      <c r="D1" s="1"/>
      <c r="E1" s="1"/>
      <c r="F1" s="1"/>
      <c r="G1" s="1"/>
      <c r="H1" s="1"/>
      <c r="I1" s="1"/>
    </row>
    <row r="2" spans="1:9" ht="15" customHeight="1" x14ac:dyDescent="0.25">
      <c r="A2" s="1"/>
      <c r="B2" s="157" t="s">
        <v>98</v>
      </c>
      <c r="C2" s="157"/>
      <c r="D2" s="157"/>
      <c r="E2" s="157"/>
      <c r="F2" s="157"/>
      <c r="G2" s="157"/>
      <c r="H2" s="157"/>
      <c r="I2" s="1"/>
    </row>
    <row r="3" spans="1:9" ht="28.5" customHeight="1" x14ac:dyDescent="0.25">
      <c r="A3" s="1"/>
      <c r="B3" s="157"/>
      <c r="C3" s="157"/>
      <c r="D3" s="157"/>
      <c r="E3" s="157"/>
      <c r="F3" s="157"/>
      <c r="G3" s="157"/>
      <c r="H3" s="157"/>
      <c r="I3" s="1"/>
    </row>
    <row r="4" spans="1:9" ht="18.75" x14ac:dyDescent="0.3">
      <c r="A4" s="1"/>
      <c r="B4" s="27"/>
      <c r="C4" s="27"/>
      <c r="D4" s="27"/>
      <c r="E4" s="27"/>
      <c r="F4" s="27"/>
      <c r="G4" s="27"/>
      <c r="H4" s="27"/>
      <c r="I4" s="1"/>
    </row>
    <row r="5" spans="1:9" x14ac:dyDescent="0.25">
      <c r="A5" s="1"/>
      <c r="B5" s="150" t="s">
        <v>167</v>
      </c>
      <c r="C5" s="151"/>
      <c r="D5" s="151"/>
      <c r="E5" s="151"/>
      <c r="F5" s="151"/>
      <c r="G5" s="151"/>
      <c r="H5" s="153"/>
      <c r="I5" s="1"/>
    </row>
    <row r="6" spans="1:9" x14ac:dyDescent="0.25">
      <c r="A6" s="1"/>
      <c r="B6" s="147" t="s">
        <v>168</v>
      </c>
      <c r="C6" s="148"/>
      <c r="D6" s="148"/>
      <c r="E6" s="148"/>
      <c r="F6" s="149"/>
      <c r="G6" s="70">
        <v>104140737.12993045</v>
      </c>
      <c r="H6" s="14" t="s">
        <v>3</v>
      </c>
      <c r="I6" s="1"/>
    </row>
    <row r="7" spans="1:9" x14ac:dyDescent="0.25">
      <c r="A7" s="1"/>
      <c r="B7" s="147" t="s">
        <v>163</v>
      </c>
      <c r="C7" s="148"/>
      <c r="D7" s="148"/>
      <c r="E7" s="148"/>
      <c r="F7" s="149"/>
      <c r="G7" s="70">
        <f>G6*'Fane 15. Nøgletal'!C20</f>
        <v>947680.70788236719</v>
      </c>
      <c r="H7" s="14" t="s">
        <v>3</v>
      </c>
      <c r="I7" s="1"/>
    </row>
    <row r="8" spans="1:9" x14ac:dyDescent="0.25">
      <c r="A8" s="1"/>
      <c r="B8" s="32"/>
      <c r="C8" s="33"/>
      <c r="D8" s="33"/>
      <c r="E8" s="33"/>
      <c r="F8" s="33"/>
      <c r="G8" s="66"/>
      <c r="H8" s="20"/>
      <c r="I8" s="1"/>
    </row>
    <row r="9" spans="1:9" x14ac:dyDescent="0.25">
      <c r="A9" s="1"/>
      <c r="B9" s="1"/>
      <c r="C9" s="1"/>
      <c r="D9" s="1"/>
      <c r="E9" s="1"/>
      <c r="F9" s="1"/>
      <c r="G9" s="76"/>
      <c r="H9" s="1"/>
      <c r="I9" s="1"/>
    </row>
    <row r="10" spans="1:9" x14ac:dyDescent="0.25">
      <c r="A10" s="1"/>
      <c r="B10" s="150" t="s">
        <v>55</v>
      </c>
      <c r="C10" s="151"/>
      <c r="D10" s="151"/>
      <c r="E10" s="151"/>
      <c r="F10" s="151"/>
      <c r="G10" s="152"/>
      <c r="H10" s="153"/>
      <c r="I10" s="1"/>
    </row>
    <row r="11" spans="1:9" x14ac:dyDescent="0.25">
      <c r="A11" s="1"/>
      <c r="B11" s="147" t="s">
        <v>169</v>
      </c>
      <c r="C11" s="148"/>
      <c r="D11" s="148"/>
      <c r="E11" s="148"/>
      <c r="F11" s="149"/>
      <c r="G11" s="70">
        <f>(G6-G7)*(1+'Fane 15. Nøgletal'!C10)</f>
        <v>104998934.90943393</v>
      </c>
      <c r="H11" s="14" t="s">
        <v>3</v>
      </c>
      <c r="I11" s="1"/>
    </row>
    <row r="12" spans="1:9" x14ac:dyDescent="0.25">
      <c r="A12" s="1"/>
      <c r="B12" s="147" t="s">
        <v>111</v>
      </c>
      <c r="C12" s="148"/>
      <c r="D12" s="148"/>
      <c r="E12" s="148"/>
      <c r="F12" s="149"/>
      <c r="G12" s="70">
        <v>1204451.7044014877</v>
      </c>
      <c r="H12" s="14" t="s">
        <v>3</v>
      </c>
      <c r="I12" s="1"/>
    </row>
    <row r="13" spans="1:9" x14ac:dyDescent="0.25">
      <c r="A13" s="1"/>
      <c r="B13" s="144" t="s">
        <v>170</v>
      </c>
      <c r="C13" s="145"/>
      <c r="D13" s="145"/>
      <c r="E13" s="145"/>
      <c r="F13" s="146"/>
      <c r="G13" s="70">
        <v>0</v>
      </c>
      <c r="H13" s="14" t="s">
        <v>3</v>
      </c>
      <c r="I13" s="1"/>
    </row>
    <row r="14" spans="1:9" x14ac:dyDescent="0.25">
      <c r="A14" s="1"/>
      <c r="B14" s="147" t="s">
        <v>56</v>
      </c>
      <c r="C14" s="148"/>
      <c r="D14" s="148"/>
      <c r="E14" s="148"/>
      <c r="F14" s="149"/>
      <c r="G14" s="70">
        <f>SUM(G11:G13)*'Fane 15. Nøgletal'!C21</f>
        <v>1879799.9430648871</v>
      </c>
      <c r="H14" s="14" t="s">
        <v>3</v>
      </c>
      <c r="I14" s="1"/>
    </row>
    <row r="15" spans="1:9" x14ac:dyDescent="0.25">
      <c r="A15" s="1"/>
      <c r="B15" s="32"/>
      <c r="C15" s="33"/>
      <c r="D15" s="33"/>
      <c r="E15" s="33"/>
      <c r="F15" s="33"/>
      <c r="G15" s="66"/>
      <c r="H15" s="20"/>
      <c r="I15" s="1"/>
    </row>
    <row r="16" spans="1:9" x14ac:dyDescent="0.25">
      <c r="A16" s="1"/>
      <c r="B16" s="1"/>
      <c r="C16" s="1"/>
      <c r="D16" s="1"/>
      <c r="E16" s="1"/>
      <c r="F16" s="1"/>
      <c r="G16" s="76"/>
      <c r="H16" s="1"/>
      <c r="I16" s="1"/>
    </row>
    <row r="17" spans="1:9" x14ac:dyDescent="0.25">
      <c r="A17" s="1"/>
      <c r="B17" s="150" t="s">
        <v>57</v>
      </c>
      <c r="C17" s="151"/>
      <c r="D17" s="151"/>
      <c r="E17" s="151"/>
      <c r="F17" s="151"/>
      <c r="G17" s="152"/>
      <c r="H17" s="153"/>
      <c r="I17" s="1"/>
    </row>
    <row r="18" spans="1:9" x14ac:dyDescent="0.25">
      <c r="A18" s="1"/>
      <c r="B18" s="147" t="s">
        <v>58</v>
      </c>
      <c r="C18" s="148"/>
      <c r="D18" s="148"/>
      <c r="E18" s="148"/>
      <c r="F18" s="149"/>
      <c r="G18" s="70">
        <f>(G11+G12+G13-G14)*(1+'Fane 15. Nøgletal'!C10)</f>
        <v>106149249.43750903</v>
      </c>
      <c r="H18" s="14" t="s">
        <v>3</v>
      </c>
      <c r="I18" s="1"/>
    </row>
    <row r="19" spans="1:9" x14ac:dyDescent="0.25">
      <c r="A19" s="1"/>
      <c r="B19" s="144" t="s">
        <v>59</v>
      </c>
      <c r="C19" s="145"/>
      <c r="D19" s="145"/>
      <c r="E19" s="145"/>
      <c r="F19" s="146"/>
      <c r="G19" s="70">
        <v>1673834.0475682097</v>
      </c>
      <c r="H19" s="14" t="s">
        <v>3</v>
      </c>
      <c r="I19" s="1"/>
    </row>
    <row r="20" spans="1:9" x14ac:dyDescent="0.25">
      <c r="A20" s="1"/>
      <c r="B20" s="147" t="s">
        <v>60</v>
      </c>
      <c r="C20" s="148"/>
      <c r="D20" s="148"/>
      <c r="E20" s="148"/>
      <c r="F20" s="149"/>
      <c r="G20" s="70">
        <f>G18*'Fane 15. Nøgletal'!C21+G19*'Fane 15. Nøgletal'!C22</f>
        <v>1893404.0712577533</v>
      </c>
      <c r="H20" s="14" t="s">
        <v>3</v>
      </c>
      <c r="I20" s="1"/>
    </row>
    <row r="21" spans="1:9" x14ac:dyDescent="0.25">
      <c r="A21" s="1"/>
      <c r="B21" s="32"/>
      <c r="C21" s="33"/>
      <c r="D21" s="33"/>
      <c r="E21" s="33"/>
      <c r="F21" s="33"/>
      <c r="G21" s="66"/>
      <c r="H21" s="20"/>
      <c r="I21" s="1"/>
    </row>
    <row r="22" spans="1:9" x14ac:dyDescent="0.25">
      <c r="A22" s="1"/>
      <c r="B22" s="1"/>
      <c r="C22" s="1"/>
      <c r="D22" s="1"/>
      <c r="E22" s="1"/>
      <c r="F22" s="1"/>
      <c r="G22" s="76"/>
      <c r="H22" s="1"/>
      <c r="I22" s="1"/>
    </row>
    <row r="23" spans="1:9" x14ac:dyDescent="0.25">
      <c r="A23" s="1"/>
      <c r="B23" s="150" t="s">
        <v>150</v>
      </c>
      <c r="C23" s="151"/>
      <c r="D23" s="151"/>
      <c r="E23" s="151"/>
      <c r="F23" s="151"/>
      <c r="G23" s="152"/>
      <c r="H23" s="153"/>
      <c r="I23" s="1"/>
    </row>
    <row r="24" spans="1:9" x14ac:dyDescent="0.25">
      <c r="A24" s="1"/>
      <c r="B24" s="147" t="s">
        <v>61</v>
      </c>
      <c r="C24" s="148"/>
      <c r="D24" s="148"/>
      <c r="E24" s="148"/>
      <c r="F24" s="149"/>
      <c r="G24" s="70">
        <f>G18*(1-'Fane 15. Nøgletal'!C21)*(1+'Fane 15. Nøgletal'!C10)+G19*(1-'Fane 15. Nøgletal'!C22)*(1+'Fane 15. Nøgletal'!C11)</f>
        <v>107782453.24054651</v>
      </c>
      <c r="H24" s="14" t="s">
        <v>3</v>
      </c>
      <c r="I24" s="1"/>
    </row>
    <row r="25" spans="1:9" x14ac:dyDescent="0.25">
      <c r="A25" s="1"/>
      <c r="B25" s="154" t="s">
        <v>171</v>
      </c>
      <c r="C25" s="145"/>
      <c r="D25" s="145"/>
      <c r="E25" s="145"/>
      <c r="F25" s="146"/>
      <c r="G25" s="70">
        <f>G19*(1-'Fane 15. Nøgletal'!C22)*(1+'Fane 15. Nøgletal'!C11)</f>
        <v>1687313.3829382549</v>
      </c>
      <c r="H25" s="14" t="s">
        <v>3</v>
      </c>
      <c r="I25" s="1"/>
    </row>
    <row r="26" spans="1:9" x14ac:dyDescent="0.25">
      <c r="A26" s="1"/>
      <c r="B26" s="144" t="s">
        <v>62</v>
      </c>
      <c r="C26" s="145"/>
      <c r="D26" s="145"/>
      <c r="E26" s="145"/>
      <c r="F26" s="146"/>
      <c r="G26" s="70">
        <v>858288.4275717776</v>
      </c>
      <c r="H26" s="14" t="s">
        <v>3</v>
      </c>
      <c r="I26" s="1"/>
    </row>
    <row r="27" spans="1:9" x14ac:dyDescent="0.25">
      <c r="A27" s="1"/>
      <c r="B27" s="147" t="s">
        <v>63</v>
      </c>
      <c r="C27" s="148"/>
      <c r="D27" s="148"/>
      <c r="E27" s="148"/>
      <c r="F27" s="149"/>
      <c r="G27" s="70">
        <f>(G24-G25)*'Fane 15. Nøgletal'!C22+G25*'Fane 15. Nøgletal'!C23+G26*'Fane 15. Nøgletal'!C24</f>
        <v>994550.34859486215</v>
      </c>
      <c r="H27" s="14" t="s">
        <v>3</v>
      </c>
      <c r="I27" s="1"/>
    </row>
    <row r="28" spans="1:9" x14ac:dyDescent="0.25">
      <c r="A28" s="1"/>
      <c r="B28" s="32"/>
      <c r="C28" s="33"/>
      <c r="D28" s="33"/>
      <c r="E28" s="33"/>
      <c r="F28" s="33"/>
      <c r="G28" s="66"/>
      <c r="H28" s="20"/>
      <c r="I28" s="1"/>
    </row>
    <row r="29" spans="1:9" x14ac:dyDescent="0.25">
      <c r="A29" s="1"/>
      <c r="B29" s="1"/>
      <c r="C29" s="1"/>
      <c r="D29" s="1"/>
      <c r="E29" s="1"/>
      <c r="F29" s="1"/>
      <c r="G29" s="76"/>
      <c r="H29" s="1"/>
      <c r="I29" s="1"/>
    </row>
    <row r="30" spans="1:9" x14ac:dyDescent="0.25">
      <c r="A30" s="1"/>
      <c r="B30" s="150" t="s">
        <v>64</v>
      </c>
      <c r="C30" s="151"/>
      <c r="D30" s="151"/>
      <c r="E30" s="151"/>
      <c r="F30" s="151"/>
      <c r="G30" s="152"/>
      <c r="H30" s="153"/>
      <c r="I30" s="1"/>
    </row>
    <row r="31" spans="1:9" x14ac:dyDescent="0.25">
      <c r="A31" s="1"/>
      <c r="B31" s="147" t="s">
        <v>65</v>
      </c>
      <c r="C31" s="148"/>
      <c r="D31" s="148"/>
      <c r="E31" s="148"/>
      <c r="F31" s="149"/>
      <c r="G31" s="70">
        <f>(G24-G25)*(1-'Fane 15. Nøgletal'!C21)*(1+'Fane 15. Nøgletal'!C10)+G25*(1-'Fane 15. Nøgletal'!C22)*(1+'Fane 15. Nøgletal'!C11)+G26*(1-'Fane 15. Nøgletal'!C23)*(1+'Fane 15. Nøgletal'!C12)</f>
        <v>108592300.25009994</v>
      </c>
      <c r="H31" s="14" t="s">
        <v>3</v>
      </c>
      <c r="I31" s="1"/>
    </row>
    <row r="32" spans="1:9" x14ac:dyDescent="0.25">
      <c r="A32" s="1"/>
      <c r="B32" s="154" t="s">
        <v>172</v>
      </c>
      <c r="C32" s="145"/>
      <c r="D32" s="145"/>
      <c r="E32" s="145"/>
      <c r="F32" s="146"/>
      <c r="G32" s="70">
        <f>G25*(1-'Fane 15. Nøgletal'!C22)*(1+'Fane 15. Nøgletal'!C11)</f>
        <v>1700901.2669916549</v>
      </c>
      <c r="H32" s="14" t="s">
        <v>3</v>
      </c>
      <c r="I32" s="1"/>
    </row>
    <row r="33" spans="1:9" x14ac:dyDescent="0.25">
      <c r="A33" s="1"/>
      <c r="B33" s="154" t="s">
        <v>106</v>
      </c>
      <c r="C33" s="145"/>
      <c r="D33" s="145"/>
      <c r="E33" s="145"/>
      <c r="F33" s="146"/>
      <c r="G33" s="70">
        <f>G26*(1-'Fane 15. Nøgletal'!C23)*(1+'Fane 15. Nøgletal'!C12)</f>
        <v>850341.1230424454</v>
      </c>
      <c r="H33" s="14" t="s">
        <v>3</v>
      </c>
      <c r="I33" s="1"/>
    </row>
    <row r="34" spans="1:9" x14ac:dyDescent="0.25">
      <c r="A34" s="1"/>
      <c r="B34" s="147" t="s">
        <v>127</v>
      </c>
      <c r="C34" s="148"/>
      <c r="D34" s="148"/>
      <c r="E34" s="148"/>
      <c r="F34" s="149"/>
      <c r="G34" s="70">
        <v>915170.05493928003</v>
      </c>
      <c r="H34" s="14" t="s">
        <v>3</v>
      </c>
      <c r="I34" s="1"/>
    </row>
    <row r="35" spans="1:9" x14ac:dyDescent="0.25">
      <c r="A35" s="1"/>
      <c r="B35" s="147" t="s">
        <v>66</v>
      </c>
      <c r="C35" s="148"/>
      <c r="D35" s="148"/>
      <c r="E35" s="148"/>
      <c r="F35" s="149"/>
      <c r="G35" s="70">
        <f>(G31-SUM(G32:G33))*'Fane 15. Nøgletal'!C21+G32*'Fane 15. Nøgletal'!C22+G33*'Fane 15. Nøgletal'!C23+G34*'Fane 15. Nøgletal'!C24</f>
        <v>1941041.4295512286</v>
      </c>
      <c r="H35" s="14" t="s">
        <v>3</v>
      </c>
      <c r="I35" s="1"/>
    </row>
    <row r="36" spans="1:9" x14ac:dyDescent="0.25">
      <c r="A36" s="1"/>
      <c r="B36" s="32"/>
      <c r="C36" s="33"/>
      <c r="D36" s="33"/>
      <c r="E36" s="33"/>
      <c r="F36" s="33"/>
      <c r="G36" s="66"/>
      <c r="H36" s="20"/>
      <c r="I36" s="1"/>
    </row>
    <row r="37" spans="1:9" x14ac:dyDescent="0.25">
      <c r="A37" s="1"/>
      <c r="B37" s="1"/>
      <c r="C37" s="1"/>
      <c r="D37" s="1"/>
      <c r="E37" s="1"/>
      <c r="F37" s="1"/>
      <c r="G37" s="76"/>
      <c r="H37" s="1"/>
      <c r="I37" s="1"/>
    </row>
    <row r="38" spans="1:9" x14ac:dyDescent="0.25">
      <c r="A38" s="1"/>
      <c r="B38" s="150" t="s">
        <v>140</v>
      </c>
      <c r="C38" s="151"/>
      <c r="D38" s="151"/>
      <c r="E38" s="151"/>
      <c r="F38" s="151"/>
      <c r="G38" s="152"/>
      <c r="H38" s="153"/>
      <c r="I38" s="1"/>
    </row>
    <row r="39" spans="1:9" x14ac:dyDescent="0.25">
      <c r="A39" s="1"/>
      <c r="B39" s="147" t="s">
        <v>173</v>
      </c>
      <c r="C39" s="148"/>
      <c r="D39" s="148"/>
      <c r="E39" s="148"/>
      <c r="F39" s="149"/>
      <c r="G39" s="70">
        <f>(SUM(G31,G34)-G35)*(1+'Fane 15. Nøgletal'!C14)</f>
        <v>107921398.09077711</v>
      </c>
      <c r="H39" s="14" t="s">
        <v>3</v>
      </c>
      <c r="I39" s="1"/>
    </row>
    <row r="40" spans="1:9" x14ac:dyDescent="0.25">
      <c r="A40" s="1"/>
      <c r="B40" s="147" t="s">
        <v>141</v>
      </c>
      <c r="C40" s="148"/>
      <c r="D40" s="148"/>
      <c r="E40" s="148"/>
      <c r="F40" s="149"/>
      <c r="G40" s="70">
        <v>757787.75071179005</v>
      </c>
      <c r="H40" s="14" t="s">
        <v>3</v>
      </c>
      <c r="I40" s="1"/>
    </row>
    <row r="41" spans="1:9" x14ac:dyDescent="0.25">
      <c r="A41" s="1"/>
      <c r="B41" s="147" t="s">
        <v>142</v>
      </c>
      <c r="C41" s="148"/>
      <c r="D41" s="148"/>
      <c r="E41" s="148"/>
      <c r="F41" s="149"/>
      <c r="G41" s="70">
        <f>(G39+G40)*'Fane 15. Nøgletal'!C25</f>
        <v>1608451.9504540358</v>
      </c>
      <c r="H41" s="14" t="s">
        <v>3</v>
      </c>
      <c r="I41" s="1"/>
    </row>
    <row r="42" spans="1:9" x14ac:dyDescent="0.25">
      <c r="A42" s="1"/>
      <c r="B42" s="32"/>
      <c r="C42" s="33"/>
      <c r="D42" s="33"/>
      <c r="E42" s="33"/>
      <c r="F42" s="33"/>
      <c r="G42" s="66"/>
      <c r="H42" s="20"/>
      <c r="I42" s="1"/>
    </row>
    <row r="43" spans="1:9" x14ac:dyDescent="0.25">
      <c r="A43" s="1"/>
      <c r="B43" s="1"/>
      <c r="C43" s="1"/>
      <c r="D43" s="1"/>
      <c r="E43" s="1"/>
      <c r="F43" s="1"/>
      <c r="G43" s="76"/>
      <c r="H43" s="1"/>
      <c r="I43" s="1"/>
    </row>
    <row r="44" spans="1:9" x14ac:dyDescent="0.25">
      <c r="A44" s="1"/>
      <c r="B44" s="150" t="s">
        <v>238</v>
      </c>
      <c r="C44" s="151"/>
      <c r="D44" s="151"/>
      <c r="E44" s="151"/>
      <c r="F44" s="151"/>
      <c r="G44" s="152"/>
      <c r="H44" s="153"/>
      <c r="I44" s="1"/>
    </row>
    <row r="45" spans="1:9" x14ac:dyDescent="0.25">
      <c r="A45" s="1"/>
      <c r="B45" s="147" t="s">
        <v>67</v>
      </c>
      <c r="C45" s="148"/>
      <c r="D45" s="148"/>
      <c r="E45" s="148"/>
      <c r="F45" s="149"/>
      <c r="G45" s="70">
        <f>(G39+G40-G41)*(1+'Fane 15. Nøgletal'!C14)</f>
        <v>107424067.31287529</v>
      </c>
      <c r="H45" s="14" t="s">
        <v>3</v>
      </c>
      <c r="I45" s="1"/>
    </row>
    <row r="46" spans="1:9" x14ac:dyDescent="0.25">
      <c r="A46" s="1"/>
      <c r="B46" s="154" t="s">
        <v>242</v>
      </c>
      <c r="C46" s="155"/>
      <c r="D46" s="155"/>
      <c r="E46" s="155"/>
      <c r="F46" s="156"/>
      <c r="G46" s="73">
        <f>(SUM('Fane 2.1. Økonomisk ramme 2023'!C13,'Fane 2.1. Økonomisk ramme 2023'!C15,'Fane 2.1. Økonomisk ramme 2023'!C17))*(1+'Fane 15. Nøgletal'!C15)</f>
        <v>3456145.1409698124</v>
      </c>
      <c r="H46" s="14" t="s">
        <v>3</v>
      </c>
      <c r="I46" s="1"/>
    </row>
    <row r="47" spans="1:9" x14ac:dyDescent="0.25">
      <c r="A47" s="1"/>
      <c r="B47" s="147" t="s">
        <v>177</v>
      </c>
      <c r="C47" s="148"/>
      <c r="D47" s="148"/>
      <c r="E47" s="148"/>
      <c r="F47" s="149"/>
      <c r="G47" s="70">
        <f>G45*'Fane 15. Nøgletal'!C25+G46*'Fane 15. Nøgletal'!C26</f>
        <v>1589876.1962305543</v>
      </c>
      <c r="H47" s="14" t="s">
        <v>3</v>
      </c>
      <c r="I47" s="1"/>
    </row>
    <row r="48" spans="1:9" x14ac:dyDescent="0.25">
      <c r="A48" s="1"/>
      <c r="B48" s="32"/>
      <c r="C48" s="33"/>
      <c r="D48" s="33"/>
      <c r="E48" s="33"/>
      <c r="F48" s="33"/>
      <c r="G48" s="66"/>
      <c r="H48" s="20"/>
      <c r="I48" s="1"/>
    </row>
    <row r="49" spans="1:9" x14ac:dyDescent="0.25">
      <c r="A49" s="1"/>
      <c r="B49" s="1"/>
      <c r="C49" s="1"/>
      <c r="D49" s="1"/>
      <c r="E49" s="1"/>
      <c r="F49" s="1"/>
      <c r="G49" s="76"/>
      <c r="H49" s="1"/>
      <c r="I49" s="1"/>
    </row>
    <row r="50" spans="1:9" x14ac:dyDescent="0.25">
      <c r="A50" s="1"/>
      <c r="B50" s="150" t="s">
        <v>128</v>
      </c>
      <c r="C50" s="151"/>
      <c r="D50" s="151"/>
      <c r="E50" s="151"/>
      <c r="F50" s="151"/>
      <c r="G50" s="152"/>
      <c r="H50" s="153"/>
      <c r="I50" s="1"/>
    </row>
    <row r="51" spans="1:9" x14ac:dyDescent="0.25">
      <c r="A51" s="1"/>
      <c r="B51" s="147" t="s">
        <v>129</v>
      </c>
      <c r="C51" s="148"/>
      <c r="D51" s="148"/>
      <c r="E51" s="148"/>
      <c r="F51" s="149"/>
      <c r="G51" s="70">
        <f>(G45+G46-G47)*(1+'Fane 15. Nøgletal'!C15)</f>
        <v>113181072.22838563</v>
      </c>
      <c r="H51" s="14" t="s">
        <v>3</v>
      </c>
      <c r="I51" s="1"/>
    </row>
    <row r="52" spans="1:9" x14ac:dyDescent="0.25">
      <c r="A52" s="1"/>
      <c r="B52" s="147" t="s">
        <v>130</v>
      </c>
      <c r="C52" s="148"/>
      <c r="D52" s="148"/>
      <c r="E52" s="148"/>
      <c r="F52" s="149"/>
      <c r="G52" s="70">
        <f>(G51)*'Fane 15. Nøgletal'!C26</f>
        <v>0</v>
      </c>
      <c r="H52" s="14" t="s">
        <v>3</v>
      </c>
      <c r="I52" s="1"/>
    </row>
    <row r="53" spans="1:9" x14ac:dyDescent="0.25">
      <c r="A53" s="1"/>
      <c r="B53" s="32"/>
      <c r="C53" s="33"/>
      <c r="D53" s="33"/>
      <c r="E53" s="33"/>
      <c r="F53" s="33"/>
      <c r="G53" s="66"/>
      <c r="H53" s="20"/>
      <c r="I53" s="1"/>
    </row>
    <row r="54" spans="1:9" x14ac:dyDescent="0.25">
      <c r="A54" s="1"/>
      <c r="B54" s="1"/>
      <c r="C54" s="1"/>
      <c r="D54" s="1"/>
      <c r="E54" s="1"/>
      <c r="F54" s="1"/>
      <c r="G54" s="76"/>
      <c r="H54" s="1"/>
      <c r="I54" s="1"/>
    </row>
    <row r="55" spans="1:9" x14ac:dyDescent="0.25">
      <c r="A55" s="1"/>
      <c r="B55" s="150" t="s">
        <v>153</v>
      </c>
      <c r="C55" s="151"/>
      <c r="D55" s="151"/>
      <c r="E55" s="151"/>
      <c r="F55" s="151"/>
      <c r="G55" s="152"/>
      <c r="H55" s="153"/>
      <c r="I55" s="1"/>
    </row>
    <row r="56" spans="1:9" x14ac:dyDescent="0.25">
      <c r="A56" s="1"/>
      <c r="B56" s="147" t="s">
        <v>129</v>
      </c>
      <c r="C56" s="148"/>
      <c r="D56" s="148"/>
      <c r="E56" s="148"/>
      <c r="F56" s="149"/>
      <c r="G56" s="70">
        <f>(G51-G52)*(1+'Fane 15. Nøgletal'!C15)</f>
        <v>117210318.39971617</v>
      </c>
      <c r="H56" s="14" t="s">
        <v>3</v>
      </c>
      <c r="I56" s="1"/>
    </row>
    <row r="57" spans="1:9" x14ac:dyDescent="0.25">
      <c r="A57" s="1"/>
      <c r="B57" s="147" t="s">
        <v>174</v>
      </c>
      <c r="C57" s="148"/>
      <c r="D57" s="148"/>
      <c r="E57" s="148"/>
      <c r="F57" s="149"/>
      <c r="G57" s="70">
        <f>(G56)*'Fane 15. Nøgletal'!C26</f>
        <v>0</v>
      </c>
      <c r="H57" s="14" t="s">
        <v>3</v>
      </c>
      <c r="I57" s="1"/>
    </row>
    <row r="58" spans="1:9" x14ac:dyDescent="0.25">
      <c r="A58" s="1"/>
      <c r="B58" s="32"/>
      <c r="C58" s="33"/>
      <c r="D58" s="33"/>
      <c r="E58" s="33"/>
      <c r="F58" s="33"/>
      <c r="G58" s="66"/>
      <c r="H58" s="20"/>
      <c r="I58" s="1"/>
    </row>
    <row r="59" spans="1:9" x14ac:dyDescent="0.25">
      <c r="A59" s="1"/>
      <c r="B59" s="1"/>
      <c r="C59" s="1"/>
      <c r="D59" s="1"/>
      <c r="E59" s="1"/>
      <c r="F59" s="1"/>
      <c r="G59" s="76"/>
      <c r="H59" s="1"/>
      <c r="I59" s="1"/>
    </row>
    <row r="60" spans="1:9" x14ac:dyDescent="0.25">
      <c r="A60" s="1"/>
      <c r="B60" s="150" t="s">
        <v>206</v>
      </c>
      <c r="C60" s="151"/>
      <c r="D60" s="151"/>
      <c r="E60" s="151"/>
      <c r="F60" s="151"/>
      <c r="G60" s="152"/>
      <c r="H60" s="153"/>
      <c r="I60" s="1"/>
    </row>
    <row r="61" spans="1:9" x14ac:dyDescent="0.25">
      <c r="A61" s="1"/>
      <c r="B61" s="147" t="s">
        <v>207</v>
      </c>
      <c r="C61" s="148"/>
      <c r="D61" s="148"/>
      <c r="E61" s="148"/>
      <c r="F61" s="149"/>
      <c r="G61" s="70">
        <f>(G56-G57)*(1+'Fane 15. Nøgletal'!C15)</f>
        <v>121383005.73474607</v>
      </c>
      <c r="H61" s="14" t="s">
        <v>3</v>
      </c>
      <c r="I61" s="1"/>
    </row>
    <row r="62" spans="1:9" x14ac:dyDescent="0.25">
      <c r="A62" s="1"/>
      <c r="B62" s="147" t="s">
        <v>208</v>
      </c>
      <c r="C62" s="148"/>
      <c r="D62" s="148"/>
      <c r="E62" s="148"/>
      <c r="F62" s="149"/>
      <c r="G62" s="70">
        <f>(G61)*'Fane 15. Nøgletal'!C26</f>
        <v>0</v>
      </c>
      <c r="H62" s="14" t="s">
        <v>3</v>
      </c>
      <c r="I62" s="1"/>
    </row>
    <row r="63" spans="1:9" x14ac:dyDescent="0.25">
      <c r="A63" s="1"/>
      <c r="B63" s="32"/>
      <c r="C63" s="33"/>
      <c r="D63" s="33"/>
      <c r="E63" s="33"/>
      <c r="F63" s="33"/>
      <c r="G63" s="33"/>
      <c r="H63" s="20"/>
      <c r="I63" s="1"/>
    </row>
    <row r="64" spans="1:9" x14ac:dyDescent="0.25">
      <c r="A64" s="1"/>
      <c r="B64" s="1"/>
      <c r="C64" s="1"/>
      <c r="D64" s="1"/>
      <c r="E64" s="1"/>
      <c r="F64" s="1"/>
      <c r="G64" s="1"/>
      <c r="H64" s="1"/>
      <c r="I64" s="1"/>
    </row>
    <row r="65" spans="1:9" x14ac:dyDescent="0.25">
      <c r="A65" s="1"/>
      <c r="B65" s="1"/>
      <c r="C65" s="1"/>
      <c r="D65" s="1"/>
      <c r="E65" s="1"/>
      <c r="F65" s="1"/>
      <c r="G65" s="1"/>
      <c r="H65" s="1"/>
      <c r="I65" s="1"/>
    </row>
    <row r="66" spans="1:9" x14ac:dyDescent="0.25">
      <c r="A66" s="1"/>
      <c r="B66" s="1"/>
      <c r="C66" s="1"/>
      <c r="D66" s="1"/>
      <c r="E66" s="1"/>
      <c r="F66" s="1"/>
      <c r="G66" s="1"/>
      <c r="H66" s="1"/>
      <c r="I66" s="1"/>
    </row>
  </sheetData>
  <sheetProtection algorithmName="SHA-512" hashValue="dxNcwyY6kDogvcq93Dss0A/u6R7n4BgD/pak3ol9bS9Sy5ItrWi2zsp/rwQ7FFEEVk9eVQxcQ+FoaOom4m4mJg==" saltValue="xvqD5ozeLn46chJ4mZFbLg==" spinCount="100000" sheet="1" objects="1" scenarios="1"/>
  <mergeCells count="41">
    <mergeCell ref="B55:H55"/>
    <mergeCell ref="B45:F45"/>
    <mergeCell ref="B56:F56"/>
    <mergeCell ref="B57:F57"/>
    <mergeCell ref="B46:F46"/>
    <mergeCell ref="B51:F51"/>
    <mergeCell ref="B52:F52"/>
    <mergeCell ref="B50:H50"/>
    <mergeCell ref="B47:F47"/>
    <mergeCell ref="B23:H23"/>
    <mergeCell ref="B17:H17"/>
    <mergeCell ref="B19:F19"/>
    <mergeCell ref="B24:F24"/>
    <mergeCell ref="B40:F40"/>
    <mergeCell ref="B32:F32"/>
    <mergeCell ref="B33:F33"/>
    <mergeCell ref="B39:F39"/>
    <mergeCell ref="B26:F26"/>
    <mergeCell ref="B27:F27"/>
    <mergeCell ref="B25:F25"/>
    <mergeCell ref="B30:H30"/>
    <mergeCell ref="B31:F31"/>
    <mergeCell ref="B35:F35"/>
    <mergeCell ref="B38:H38"/>
    <mergeCell ref="B34:F34"/>
    <mergeCell ref="B60:H60"/>
    <mergeCell ref="B61:F61"/>
    <mergeCell ref="B62:F62"/>
    <mergeCell ref="B2:H3"/>
    <mergeCell ref="B20:F20"/>
    <mergeCell ref="B5:H5"/>
    <mergeCell ref="B6:F6"/>
    <mergeCell ref="B7:F7"/>
    <mergeCell ref="B10:H10"/>
    <mergeCell ref="B12:F12"/>
    <mergeCell ref="B11:F11"/>
    <mergeCell ref="B13:F13"/>
    <mergeCell ref="B14:F14"/>
    <mergeCell ref="B18:F18"/>
    <mergeCell ref="B41:F41"/>
    <mergeCell ref="B44:H44"/>
  </mergeCells>
  <pageMargins left="0.7" right="0.7" top="0.75" bottom="0.75" header="0.3" footer="0.3"/>
  <pageSetup paperSize="9" orientation="portrait" r:id="rId1"/>
  <headerFooter>
    <oddFooter xml:space="preserve">&amp;C
&amp;R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H46"/>
  <sheetViews>
    <sheetView showGridLines="0" view="pageLayout" zoomScale="85" zoomScaleNormal="100" zoomScalePageLayoutView="85" workbookViewId="0"/>
  </sheetViews>
  <sheetFormatPr defaultColWidth="9" defaultRowHeight="15" x14ac:dyDescent="0.25"/>
  <cols>
    <col min="1" max="1" width="7.85546875" style="2" customWidth="1"/>
    <col min="2" max="5" width="9" style="2"/>
    <col min="6" max="6" width="19.140625" style="2" customWidth="1"/>
    <col min="7" max="7" width="10.28515625" style="2" customWidth="1"/>
    <col min="8" max="8" width="7.85546875" style="2" customWidth="1"/>
    <col min="9" max="16384" width="9"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7" t="s">
        <v>76</v>
      </c>
      <c r="C3" s="117"/>
      <c r="D3" s="117"/>
      <c r="E3" s="117"/>
      <c r="F3" s="117"/>
      <c r="G3" s="117"/>
      <c r="H3" s="1"/>
    </row>
    <row r="4" spans="1:8" ht="15" customHeight="1" x14ac:dyDescent="0.25">
      <c r="A4" s="1"/>
      <c r="B4" s="117"/>
      <c r="C4" s="117"/>
      <c r="D4" s="117"/>
      <c r="E4" s="117"/>
      <c r="F4" s="117"/>
      <c r="G4" s="117"/>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50" t="s">
        <v>10</v>
      </c>
      <c r="C8" s="151"/>
      <c r="D8" s="151"/>
      <c r="E8" s="151"/>
      <c r="F8" s="151"/>
      <c r="G8" s="153"/>
      <c r="H8" s="1"/>
    </row>
    <row r="9" spans="1:8" x14ac:dyDescent="0.25">
      <c r="A9" s="1"/>
      <c r="B9" s="147" t="s">
        <v>143</v>
      </c>
      <c r="C9" s="148"/>
      <c r="D9" s="148"/>
      <c r="E9" s="148"/>
      <c r="F9" s="149"/>
      <c r="G9" s="77">
        <v>6.7029002759117235E-3</v>
      </c>
      <c r="H9" s="1"/>
    </row>
    <row r="10" spans="1:8" x14ac:dyDescent="0.25">
      <c r="A10" s="1"/>
      <c r="B10" s="32"/>
      <c r="C10" s="33"/>
      <c r="D10" s="33"/>
      <c r="E10" s="33"/>
      <c r="F10" s="33"/>
      <c r="G10" s="20"/>
      <c r="H10" s="1"/>
    </row>
    <row r="11" spans="1:8" ht="25.5" customHeight="1" x14ac:dyDescent="0.25">
      <c r="A11" s="1"/>
      <c r="B11" s="158" t="s">
        <v>240</v>
      </c>
      <c r="C11" s="159"/>
      <c r="D11" s="159"/>
      <c r="E11" s="159"/>
      <c r="F11" s="159"/>
      <c r="G11" s="160"/>
      <c r="H11" s="1"/>
    </row>
    <row r="12" spans="1:8" ht="5.25" customHeight="1" x14ac:dyDescent="0.25">
      <c r="A12" s="18"/>
      <c r="B12" s="161"/>
      <c r="C12" s="162"/>
      <c r="D12" s="162"/>
      <c r="E12" s="162"/>
      <c r="F12" s="162"/>
      <c r="G12" s="163"/>
      <c r="H12" s="1"/>
    </row>
    <row r="13" spans="1:8" x14ac:dyDescent="0.25">
      <c r="A13" s="1"/>
      <c r="B13" s="1"/>
      <c r="C13" s="1"/>
      <c r="D13" s="1"/>
      <c r="E13" s="1"/>
      <c r="F13" s="1"/>
      <c r="G13" s="1"/>
      <c r="H13" s="18"/>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43"/>
      <c r="B44" s="43"/>
      <c r="C44" s="43"/>
      <c r="D44" s="43"/>
      <c r="E44" s="43"/>
      <c r="F44" s="43"/>
      <c r="G44" s="43"/>
      <c r="H44" s="43"/>
    </row>
    <row r="45" spans="1:8" x14ac:dyDescent="0.25">
      <c r="A45" s="43"/>
      <c r="B45" s="43"/>
      <c r="C45" s="43"/>
      <c r="D45" s="43"/>
      <c r="E45" s="43"/>
      <c r="F45" s="43"/>
      <c r="G45" s="43"/>
      <c r="H45" s="43"/>
    </row>
    <row r="46" spans="1:8" x14ac:dyDescent="0.25">
      <c r="A46" s="43"/>
      <c r="B46" s="43"/>
      <c r="C46" s="43"/>
      <c r="D46" s="43"/>
      <c r="E46" s="43"/>
      <c r="F46" s="43"/>
      <c r="G46" s="43"/>
      <c r="H46" s="43"/>
    </row>
  </sheetData>
  <sheetProtection algorithmName="SHA-512" hashValue="P19HVKqFb8sxz9LFw5dSNfN9VjFqog3LctozFbVrEKmArJBJsJ/sOhfLGUjzSk9vkVsmdBto7zLhGYEah0GLzg==" saltValue="ZTvnv1k3QAsevi5mzRjilw==" spinCount="100000" sheet="1" objects="1" scenarios="1"/>
  <mergeCells count="4">
    <mergeCell ref="B11:G12"/>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20</vt:i4>
      </vt:variant>
    </vt:vector>
  </HeadingPairs>
  <TitlesOfParts>
    <vt:vector size="20"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Korrektion af ØR2021</vt:lpstr>
      <vt:lpstr>Fane 10. Anlægsprojekter (§19) </vt:lpstr>
      <vt:lpstr>Fane 11.1. Varige tillæg</vt:lpstr>
      <vt:lpstr>Fane 11.2. Engangstillæg</vt:lpstr>
      <vt:lpstr>Fane 12. Periodevise driftsomk.</vt:lpstr>
      <vt:lpstr>Fane 13. Tilknyttet virksomhed</vt:lpstr>
      <vt:lpstr>Fane 14. Bortfald</vt:lpstr>
      <vt:lpstr>Fane 15.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2022-12-22T13:38:20Z</dcterms:modified>
</cp:coreProperties>
</file>