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Denne_projektmappe" defaultThemeVersion="124226"/>
  <mc:AlternateContent xmlns:mc="http://schemas.openxmlformats.org/markup-compatibility/2006">
    <mc:Choice Requires="x15">
      <x15ac:absPath xmlns:x15ac="http://schemas.microsoft.com/office/spreadsheetml/2010/11/ac" url="E:\VAND\Sagsbehandling\Drikkevand\TREFOR Vand AS (V188)\ØR2025\"/>
    </mc:Choice>
  </mc:AlternateContent>
  <xr:revisionPtr revIDLastSave="0" documentId="13_ncr:1_{39BFEDFE-A442-4AB4-A6A9-F28D6A0710EC}"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ØR2024'!$C$36</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ØR2024'!$B$8:$D$36</definedName>
    <definedName name="ØR24total">'Fane 3. Omkostninger i ØR2024'!$C$36</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<sst xmlns="http://schemas.openxmlformats.org/spreadsheetml/2006/main" count="457" uniqueCount="212">
  <si>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</si>
  <si>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</si>
  <si>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</si>
  <si>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</si>
  <si>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</si>
  <si>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</si>
  <si>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</si>
  <si>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</si>
  <si>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</si>
  <si>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</si>
  <si>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</si>
  <si>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</si>
  <si>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</si>
  <si>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</si>
  <si>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</si>
  <si>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</si>
  <si>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</si>
  <si>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</si>
  <si>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</si>
  <si>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</si>
  <si>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</si>
  <si>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</si>
  <si>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</si>
  <si>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</si>
  <si>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</si>
  <si>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</si>
  <si>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</si>
  <si>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</si>
  <si>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</si>
  <si>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</si>
  <si>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</si>
  <si>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</si>
  <si>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</si>
  <si>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</si>
  <si>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</si>
  <si>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</si>
  <si>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</si>
  <si>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</si>
  <si>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</si>
  <si>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</si>
  <si>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</si>
  <si>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</si>
  <si>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</si>
  <si>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</si>
  <si>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</si>
  <si>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</si>
  <si>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</si>
  <si>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</si>
  <si>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</si>
  <si>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</si>
  <si>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</si>
  <si>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</si>
  <si>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</si>
  <si>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</si>
  <si>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</si>
  <si>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</si>
  <si>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</si>
  <si>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</si>
  <si>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</si>
  <si>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</si>
  <si>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</si>
  <si>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</si>
  <si>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</si>
  <si>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</si>
  <si>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</si>
  <si>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</si>
  <si>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</si>
  <si>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</si>
  <si>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</si>
  <si>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</si>
  <si>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</si>
  <si>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</si>
  <si>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</si>
  <si>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</si>
  <si>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</si>
  <si>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</si>
  <si>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</si>
  <si>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</si>
  <si>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</si>
  <si>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</si>
  <si>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</si>
  <si>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</si>
  <si>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</si>
  <si>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</si>
  <si>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</si>
  <si>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</si>
  <si>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</si>
  <si>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</si>
  <si>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</si>
  <si>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</si>
  <si>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</si>
  <si>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</si>
  <si>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</si>
  <si>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</si>
  <si>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</si>
  <si>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</si>
  <si>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</si>
  <si>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</si>
  <si>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</si>
  <si>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</si>
  <si>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</si>
  <si>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</si>
  <si>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</si>
  <si>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</si>
  <si>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</si>
  <si>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</si>
  <si>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</si>
  <si>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</si>
  <si>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</si>
  <si>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</si>
  <si>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</si>
  <si>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</si>
  <si>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</si>
  <si>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</si>
  <si>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</si>
  <si>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</si>
  <si>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</si>
  <si>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</si>
  <si>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</si>
  <si>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</si>
  <si>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</si>
  <si>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</si>
  <si>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</si>
  <si>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</si>
  <si>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</si>
  <si>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</si>
  <si>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</si>
  <si>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</si>
  <si>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</si>
  <si>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</si>
  <si>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</si>
  <si>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</si>
  <si>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</si>
  <si>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</si>
  <si>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</si>
  <si>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</si>
  <si>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</si>
  <si>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</si>
  <si>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</si>
  <si>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</si>
  <si>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</si>
  <si>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</si>
  <si>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</si>
  <si>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</si>
  <si>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</si>
  <si>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</si>
  <si>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</si>
  <si>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</si>
  <si>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</si>
  <si>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</si>
  <si>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</si>
  <si>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</si>
  <si>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</si>
  <si>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</si>
  <si>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</si>
  <si>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</si>
  <si>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</si>
  <si>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</si>
  <si>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</si>
  <si>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</si>
  <si>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</si>
  <si>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</si>
  <si>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</si>
  <si>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</si>
  <si>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</si>
  <si>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</si>
  <si>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</si>
  <si>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</si>
  <si>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</si>
  <si>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</si>
  <si>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</si>
  <si>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</si>
  <si>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</si>
  <si>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</si>
  <si>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</si>
  <si>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</si>
  <si>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</si>
  <si>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</si>
  <si>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</si>
  <si>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</si>
  <si>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</si>
  <si>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</si>
  <si>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</si>
  <si>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</si>
  <si>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</si>
  <si>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</si>
  <si>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</si>
  <si>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</si>
  <si>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</si>
  <si>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</si>
  <si>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</si>
  <si>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</si>
  <si>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</si>
  <si>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Justering af den økonomiske ramme</t>
  </si>
  <si>
    <t>Justering af den økonomiske ramme for stigende el-omkostninger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</si>
  <si>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</si>
  <si>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</si>
  <si>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</si>
  <si>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</si>
  <si>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</si>
  <si>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</si>
  <si>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</si>
  <si>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Tjenestemandspensioner</t>
  </si>
  <si>
    <t>Erstatninger</t>
  </si>
  <si>
    <t>Frivillige aftaler om dyrkningspraksis eller andre restriktioner i arealanvendelse</t>
  </si>
  <si>
    <t>Klimatilpasning af boringer</t>
  </si>
  <si>
    <t>Meromkostninger ved analyseprogram Vejle Kommune</t>
  </si>
  <si>
    <t>Nye parametre</t>
  </si>
  <si>
    <t>Flytning af ledninger</t>
  </si>
  <si>
    <t>Nye målere</t>
  </si>
  <si>
    <t>Nyudstykninger</t>
  </si>
  <si>
    <t>Egne omkostninger BNBO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</si>
</sst>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19">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8" t="s">
        <v>4</v>
      </c>
      <c r="D6" s="78"/>
      <c r="E6" s="78"/>
      <c r="F6" s="78"/>
      <c r="G6" s="1"/>
    </row>
    <row r="7" spans="1:7" ht="15" customHeight="1" x14ac:dyDescent="0.25">
      <c r="A7" s="1"/>
      <c r="B7" s="3"/>
      <c r="C7" s="78"/>
      <c r="D7" s="78"/>
      <c r="E7" s="78"/>
      <c r="F7" s="78"/>
      <c r="G7" s="1"/>
    </row>
    <row r="8" spans="1:7" ht="15.75" x14ac:dyDescent="0.25">
      <c r="A8" s="1"/>
      <c r="B8" s="4"/>
      <c r="C8" s="83" t="s">
        <v>198</v>
      </c>
      <c r="D8" s="83"/>
      <c r="E8" s="83"/>
      <c r="F8" s="83"/>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2" t="s">
        <v>5</v>
      </c>
      <c r="D11" s="82"/>
      <c r="E11" s="82"/>
      <c r="F11" s="82"/>
      <c r="G11" s="1"/>
    </row>
    <row r="12" spans="1:7" x14ac:dyDescent="0.25">
      <c r="A12" s="1"/>
      <c r="B12" s="1"/>
      <c r="C12" s="1"/>
      <c r="D12" s="1"/>
      <c r="E12" s="1"/>
      <c r="F12" s="1"/>
      <c r="G12" s="1"/>
    </row>
    <row r="13" spans="1:7" x14ac:dyDescent="0.25">
      <c r="A13" s="1"/>
      <c r="B13" s="6" t="s">
        <v>6</v>
      </c>
      <c r="C13" s="75" t="s">
        <v>124</v>
      </c>
      <c r="D13" s="76"/>
      <c r="E13" s="76"/>
      <c r="F13" s="77"/>
      <c r="G13" s="1"/>
    </row>
    <row r="14" spans="1:7" x14ac:dyDescent="0.25">
      <c r="A14" s="1"/>
      <c r="B14" s="6" t="s">
        <v>14</v>
      </c>
      <c r="C14" s="75" t="s">
        <v>159</v>
      </c>
      <c r="D14" s="76"/>
      <c r="E14" s="76"/>
      <c r="F14" s="77"/>
      <c r="G14" s="1"/>
    </row>
    <row r="15" spans="1:7" x14ac:dyDescent="0.25">
      <c r="A15" s="1"/>
      <c r="B15" s="6" t="s">
        <v>29</v>
      </c>
      <c r="C15" s="75" t="s">
        <v>107</v>
      </c>
      <c r="D15" s="76"/>
      <c r="E15" s="76"/>
      <c r="F15" s="77"/>
      <c r="G15" s="1"/>
    </row>
    <row r="16" spans="1:7" x14ac:dyDescent="0.25">
      <c r="A16" s="1"/>
      <c r="B16" s="6" t="s">
        <v>30</v>
      </c>
      <c r="C16" s="75" t="s">
        <v>125</v>
      </c>
      <c r="D16" s="76"/>
      <c r="E16" s="76"/>
      <c r="F16" s="77"/>
      <c r="G16" s="1"/>
    </row>
    <row r="17" spans="1:7" x14ac:dyDescent="0.25">
      <c r="A17" s="1"/>
      <c r="B17" s="6" t="s">
        <v>57</v>
      </c>
      <c r="C17" s="75" t="s">
        <v>126</v>
      </c>
      <c r="D17" s="76"/>
      <c r="E17" s="76"/>
      <c r="F17" s="77"/>
      <c r="G17" s="1"/>
    </row>
    <row r="18" spans="1:7" x14ac:dyDescent="0.25">
      <c r="A18" s="1"/>
      <c r="B18" s="6" t="s">
        <v>49</v>
      </c>
      <c r="C18" s="84" t="s">
        <v>42</v>
      </c>
      <c r="D18" s="85"/>
      <c r="E18" s="85"/>
      <c r="F18" s="86"/>
      <c r="G18" s="1"/>
    </row>
    <row r="19" spans="1:7" x14ac:dyDescent="0.25">
      <c r="A19" s="1"/>
      <c r="B19" s="6" t="s">
        <v>50</v>
      </c>
      <c r="C19" s="84" t="s">
        <v>43</v>
      </c>
      <c r="D19" s="85"/>
      <c r="E19" s="85"/>
      <c r="F19" s="86"/>
      <c r="G19" s="1"/>
    </row>
    <row r="20" spans="1:7" x14ac:dyDescent="0.25">
      <c r="A20" s="1"/>
      <c r="B20" s="6" t="s">
        <v>7</v>
      </c>
      <c r="C20" s="84" t="s">
        <v>9</v>
      </c>
      <c r="D20" s="85"/>
      <c r="E20" s="85"/>
      <c r="F20" s="86"/>
      <c r="G20" s="1"/>
    </row>
    <row r="21" spans="1:7" x14ac:dyDescent="0.25">
      <c r="A21" s="1"/>
      <c r="B21" s="6" t="s">
        <v>51</v>
      </c>
      <c r="C21" s="90" t="s">
        <v>11</v>
      </c>
      <c r="D21" s="91"/>
      <c r="E21" s="91"/>
      <c r="F21" s="92"/>
      <c r="G21" s="1"/>
    </row>
    <row r="22" spans="1:7" x14ac:dyDescent="0.25">
      <c r="A22" s="1"/>
      <c r="B22" s="6" t="s">
        <v>37</v>
      </c>
      <c r="C22" s="79" t="s">
        <v>127</v>
      </c>
      <c r="D22" s="80"/>
      <c r="E22" s="80"/>
      <c r="F22" s="81"/>
      <c r="G22" s="1"/>
    </row>
    <row r="23" spans="1:7" x14ac:dyDescent="0.25">
      <c r="A23" s="1"/>
      <c r="B23" s="6" t="s">
        <v>8</v>
      </c>
      <c r="C23" s="79" t="s">
        <v>89</v>
      </c>
      <c r="D23" s="80"/>
      <c r="E23" s="80"/>
      <c r="F23" s="81"/>
      <c r="G23" s="1"/>
    </row>
    <row r="24" spans="1:7" x14ac:dyDescent="0.25">
      <c r="A24" s="1"/>
      <c r="B24" s="6" t="s">
        <v>85</v>
      </c>
      <c r="C24" s="79" t="s">
        <v>78</v>
      </c>
      <c r="D24" s="80"/>
      <c r="E24" s="80"/>
      <c r="F24" s="81"/>
      <c r="G24" s="1"/>
    </row>
    <row r="25" spans="1:7" x14ac:dyDescent="0.25">
      <c r="A25" s="1"/>
      <c r="B25" s="6" t="s">
        <v>86</v>
      </c>
      <c r="C25" s="79" t="s">
        <v>38</v>
      </c>
      <c r="D25" s="80"/>
      <c r="E25" s="80"/>
      <c r="F25" s="81"/>
      <c r="G25" s="1"/>
    </row>
    <row r="26" spans="1:7" x14ac:dyDescent="0.25">
      <c r="A26" s="1"/>
      <c r="B26" s="6" t="s">
        <v>87</v>
      </c>
      <c r="C26" s="79" t="s">
        <v>39</v>
      </c>
      <c r="D26" s="80"/>
      <c r="E26" s="80"/>
      <c r="F26" s="81"/>
      <c r="G26" s="1"/>
    </row>
    <row r="27" spans="1:7" x14ac:dyDescent="0.25">
      <c r="A27" s="1"/>
      <c r="B27" s="6" t="s">
        <v>52</v>
      </c>
      <c r="C27" s="79" t="s">
        <v>58</v>
      </c>
      <c r="D27" s="80"/>
      <c r="E27" s="80"/>
      <c r="F27" s="81"/>
      <c r="G27" s="1"/>
    </row>
    <row r="28" spans="1:7" x14ac:dyDescent="0.25">
      <c r="A28" s="1"/>
      <c r="B28" s="6" t="s">
        <v>46</v>
      </c>
      <c r="C28" s="79" t="s">
        <v>31</v>
      </c>
      <c r="D28" s="80"/>
      <c r="E28" s="80"/>
      <c r="F28" s="81"/>
      <c r="G28" s="1"/>
    </row>
    <row r="29" spans="1:7" x14ac:dyDescent="0.25">
      <c r="A29" s="1"/>
      <c r="B29" s="6" t="s">
        <v>88</v>
      </c>
      <c r="C29" s="87" t="s">
        <v>47</v>
      </c>
      <c r="D29" s="88"/>
      <c r="E29" s="88"/>
      <c r="F29" s="89"/>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De4+6PLcfA6SYFzerYwwnEv2grTnzULMklqu3o0uQogetXAuHdRCtWV7+Q1ll/ezaVu8EhfYu3+YZ/JiNXF3CA==" saltValue="XvLSYR4e3BD7I398H8mv8w=="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55</v>
      </c>
      <c r="C3" s="93"/>
      <c r="D3" s="93"/>
      <c r="E3" s="1"/>
    </row>
    <row r="4" spans="1:5" ht="15" customHeight="1" x14ac:dyDescent="0.25">
      <c r="A4" s="1"/>
      <c r="B4" s="93"/>
      <c r="C4" s="93"/>
      <c r="D4" s="9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7" t="s">
        <v>142</v>
      </c>
      <c r="C8" s="98"/>
      <c r="D8" s="99"/>
      <c r="E8" s="1"/>
    </row>
    <row r="9" spans="1:5" ht="15" customHeight="1" x14ac:dyDescent="0.25">
      <c r="A9" s="1"/>
      <c r="B9" s="51" t="s">
        <v>27</v>
      </c>
      <c r="C9" s="45" t="s">
        <v>145</v>
      </c>
      <c r="D9" s="11"/>
      <c r="E9" s="1"/>
    </row>
    <row r="10" spans="1:5" ht="15" customHeight="1" x14ac:dyDescent="0.25">
      <c r="A10" s="1"/>
      <c r="B10" s="64" t="s">
        <v>199</v>
      </c>
      <c r="C10" s="65">
        <v>67809834</v>
      </c>
      <c r="D10" s="14" t="s">
        <v>3</v>
      </c>
      <c r="E10" s="1"/>
    </row>
    <row r="11" spans="1:5" x14ac:dyDescent="0.25">
      <c r="A11" s="1"/>
      <c r="B11" s="64" t="s">
        <v>200</v>
      </c>
      <c r="C11" s="65">
        <v>280850</v>
      </c>
      <c r="D11" s="14" t="s">
        <v>3</v>
      </c>
      <c r="E11" s="1"/>
    </row>
    <row r="12" spans="1:5" x14ac:dyDescent="0.25">
      <c r="A12" s="1"/>
      <c r="B12" s="64" t="s">
        <v>201</v>
      </c>
      <c r="C12" s="65">
        <v>276820</v>
      </c>
      <c r="D12" s="14" t="s">
        <v>3</v>
      </c>
      <c r="E12" s="1"/>
    </row>
    <row r="13" spans="1:5" x14ac:dyDescent="0.25">
      <c r="A13" s="1"/>
      <c r="B13" s="64" t="s">
        <v>202</v>
      </c>
      <c r="C13" s="65">
        <v>472296</v>
      </c>
      <c r="D13" s="14" t="s">
        <v>3</v>
      </c>
      <c r="E13" s="1"/>
    </row>
    <row r="14" spans="1:5" x14ac:dyDescent="0.25">
      <c r="A14" s="1"/>
      <c r="B14" s="64" t="s">
        <v>203</v>
      </c>
      <c r="C14" s="65">
        <v>138509</v>
      </c>
      <c r="D14" s="14" t="s">
        <v>3</v>
      </c>
      <c r="E14" s="1"/>
    </row>
    <row r="15" spans="1:5" ht="25.5" x14ac:dyDescent="0.25">
      <c r="A15" s="1"/>
      <c r="B15" s="64" t="s">
        <v>204</v>
      </c>
      <c r="C15" s="65">
        <v>618000</v>
      </c>
      <c r="D15" s="14" t="s">
        <v>3</v>
      </c>
      <c r="E15" s="1"/>
    </row>
    <row r="16" spans="1:5" x14ac:dyDescent="0.25">
      <c r="A16" s="1"/>
      <c r="B16" s="64"/>
      <c r="C16" s="65"/>
      <c r="D16" s="14" t="s">
        <v>3</v>
      </c>
      <c r="E16" s="1"/>
    </row>
    <row r="17" spans="1:5" x14ac:dyDescent="0.25">
      <c r="A17" s="1"/>
      <c r="B17" s="64"/>
      <c r="C17" s="65"/>
      <c r="D17" s="14" t="s">
        <v>3</v>
      </c>
      <c r="E17" s="1"/>
    </row>
    <row r="18" spans="1:5" x14ac:dyDescent="0.25">
      <c r="A18" s="1"/>
      <c r="B18" s="64"/>
      <c r="C18" s="65"/>
      <c r="D18" s="14" t="s">
        <v>3</v>
      </c>
      <c r="E18" s="1"/>
    </row>
    <row r="19" spans="1:5" x14ac:dyDescent="0.25">
      <c r="A19" s="1"/>
      <c r="B19" s="52" t="s">
        <v>143</v>
      </c>
      <c r="C19" s="12">
        <f>SUM(C10:C18)</f>
        <v>69596309</v>
      </c>
      <c r="D19" s="13" t="s">
        <v>3</v>
      </c>
      <c r="E19" s="1"/>
    </row>
    <row r="20" spans="1:5" x14ac:dyDescent="0.25">
      <c r="A20" s="1"/>
      <c r="B20" s="52" t="s">
        <v>144</v>
      </c>
      <c r="C20" s="12">
        <f>C19*(1+'Fane 13. Nøgletal'!C11)^2</f>
        <v>79130703.372908205</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DKlv7sxXOX2f5p1lmZONz0ijh7+bwL47v5jW6hTXsFm2YsgkCuiuiM3S803oD+weY/B3siPZj11XGg/g6h+8OA==" saltValue="Lo39+Oii3i4OFGJdkbKhC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5" t="s">
        <v>172</v>
      </c>
      <c r="C3" s="95"/>
      <c r="D3" s="95"/>
      <c r="E3" s="1"/>
    </row>
    <row r="4" spans="1:5" ht="15" customHeight="1" x14ac:dyDescent="0.25">
      <c r="A4" s="1"/>
      <c r="B4" s="95"/>
      <c r="C4" s="95"/>
      <c r="D4" s="95"/>
      <c r="E4" s="1"/>
    </row>
    <row r="5" spans="1:5" ht="15" customHeight="1" x14ac:dyDescent="0.25">
      <c r="A5" s="1"/>
      <c r="B5" s="95"/>
      <c r="C5" s="95"/>
      <c r="D5" s="95"/>
      <c r="E5" s="1"/>
    </row>
    <row r="6" spans="1:5" ht="15" customHeight="1" x14ac:dyDescent="0.25">
      <c r="A6" s="1"/>
      <c r="B6" s="67"/>
      <c r="C6" s="67"/>
      <c r="D6" s="67"/>
      <c r="E6" s="1"/>
    </row>
    <row r="7" spans="1:5" x14ac:dyDescent="0.25">
      <c r="A7" s="1"/>
      <c r="B7" s="1"/>
      <c r="C7" s="1"/>
      <c r="D7" s="1"/>
      <c r="E7" s="1"/>
    </row>
    <row r="8" spans="1:5" x14ac:dyDescent="0.25">
      <c r="A8" s="1"/>
      <c r="B8" s="97" t="s">
        <v>175</v>
      </c>
      <c r="C8" s="98"/>
      <c r="D8" s="99"/>
      <c r="E8" s="1"/>
    </row>
    <row r="9" spans="1:5" x14ac:dyDescent="0.25">
      <c r="A9" s="1"/>
      <c r="B9" s="56" t="s">
        <v>176</v>
      </c>
      <c r="C9" s="9">
        <v>-6742467.8258981109</v>
      </c>
      <c r="D9" s="39" t="s">
        <v>3</v>
      </c>
      <c r="E9" s="1"/>
    </row>
    <row r="10" spans="1:5" x14ac:dyDescent="0.25">
      <c r="A10" s="1"/>
      <c r="B10" s="56" t="s">
        <v>174</v>
      </c>
      <c r="C10" s="9">
        <v>10017949.154440582</v>
      </c>
      <c r="D10" s="14" t="s">
        <v>3</v>
      </c>
      <c r="E10" s="1"/>
    </row>
    <row r="11" spans="1:5" x14ac:dyDescent="0.25">
      <c r="A11" s="1"/>
      <c r="B11" s="52"/>
      <c r="C11" s="53"/>
      <c r="D11" s="19"/>
      <c r="E11" s="1"/>
    </row>
    <row r="12" spans="1:5" ht="53.85" customHeight="1" x14ac:dyDescent="0.25">
      <c r="A12" s="1"/>
      <c r="B12" s="106" t="s">
        <v>173</v>
      </c>
      <c r="C12" s="107"/>
      <c r="D12" s="108"/>
      <c r="E12" s="1"/>
    </row>
    <row r="13" spans="1:5" x14ac:dyDescent="0.25">
      <c r="A13" s="1"/>
      <c r="B13" s="1"/>
      <c r="C13" s="1"/>
      <c r="D13" s="1"/>
      <c r="E13" s="1"/>
    </row>
    <row r="14" spans="1:5" x14ac:dyDescent="0.25">
      <c r="A14" s="1"/>
      <c r="B14" s="68" t="s">
        <v>177</v>
      </c>
      <c r="C14" s="69"/>
      <c r="D14" s="70"/>
      <c r="E14" s="1"/>
    </row>
    <row r="15" spans="1:5" x14ac:dyDescent="0.25">
      <c r="A15" s="1"/>
      <c r="B15" s="56" t="s">
        <v>178</v>
      </c>
      <c r="C15" s="9">
        <f>IF(C10&lt;0,C10,0)</f>
        <v>0</v>
      </c>
      <c r="D15" s="14" t="s">
        <v>3</v>
      </c>
      <c r="E15" s="1"/>
    </row>
    <row r="16" spans="1:5" x14ac:dyDescent="0.25">
      <c r="A16" s="1"/>
      <c r="B16" s="56" t="s">
        <v>185</v>
      </c>
      <c r="C16" s="9">
        <f>IF(SUM(C9)&gt;0,SUM(C9),0)</f>
        <v>0</v>
      </c>
      <c r="D16" s="14" t="s">
        <v>3</v>
      </c>
      <c r="E16" s="1"/>
    </row>
    <row r="17" spans="1:5" ht="26.25" x14ac:dyDescent="0.25">
      <c r="A17" s="1"/>
      <c r="B17" s="71" t="s">
        <v>179</v>
      </c>
      <c r="C17" s="62">
        <f>IF(SUM(C15:C16)&gt;0,0,SUM(C15:C16))</f>
        <v>0</v>
      </c>
      <c r="D17" s="17" t="s">
        <v>3</v>
      </c>
      <c r="E17" s="1"/>
    </row>
    <row r="18" spans="1:5" x14ac:dyDescent="0.25">
      <c r="A18" s="1"/>
      <c r="B18" s="52"/>
      <c r="C18" s="53"/>
      <c r="D18" s="19"/>
      <c r="E18" s="1"/>
    </row>
    <row r="19" spans="1:5" x14ac:dyDescent="0.25">
      <c r="A19" s="1"/>
      <c r="B19" s="1"/>
      <c r="C19" s="1"/>
      <c r="D19" s="1"/>
      <c r="E19" s="1"/>
    </row>
    <row r="20" spans="1:5" x14ac:dyDescent="0.25">
      <c r="A20" s="1"/>
      <c r="B20" s="68" t="s">
        <v>180</v>
      </c>
      <c r="C20" s="69"/>
      <c r="D20" s="70"/>
      <c r="E20" s="1"/>
    </row>
    <row r="21" spans="1:5" x14ac:dyDescent="0.25">
      <c r="A21" s="1"/>
      <c r="B21" s="56" t="s">
        <v>181</v>
      </c>
      <c r="C21" s="9">
        <v>223139680.32545277</v>
      </c>
      <c r="D21" s="14" t="s">
        <v>3</v>
      </c>
      <c r="E21" s="1"/>
    </row>
    <row r="22" spans="1:5" x14ac:dyDescent="0.25">
      <c r="A22" s="1"/>
      <c r="B22" s="56" t="s">
        <v>182</v>
      </c>
      <c r="C22" s="9">
        <v>226909839</v>
      </c>
      <c r="D22" s="14" t="s">
        <v>3</v>
      </c>
      <c r="E22" s="1"/>
    </row>
    <row r="23" spans="1:5" x14ac:dyDescent="0.25">
      <c r="A23" s="1"/>
      <c r="B23" s="56" t="s">
        <v>28</v>
      </c>
      <c r="C23" s="9">
        <v>-1300000</v>
      </c>
      <c r="D23" s="14" t="s">
        <v>3</v>
      </c>
      <c r="E23" s="1"/>
    </row>
    <row r="24" spans="1:5" x14ac:dyDescent="0.25">
      <c r="A24" s="1"/>
      <c r="B24" s="73" t="s">
        <v>183</v>
      </c>
      <c r="C24" s="46">
        <f>C21-C22-C23</f>
        <v>-2470158.6745472252</v>
      </c>
      <c r="D24" s="17" t="s">
        <v>3</v>
      </c>
      <c r="E24" s="1"/>
    </row>
    <row r="25" spans="1:5" x14ac:dyDescent="0.25">
      <c r="A25" s="1"/>
      <c r="B25" s="52"/>
      <c r="C25" s="53"/>
      <c r="D25" s="19"/>
      <c r="E25" s="1"/>
    </row>
    <row r="26" spans="1:5" x14ac:dyDescent="0.25">
      <c r="A26" s="1"/>
      <c r="B26" s="1"/>
      <c r="C26" s="1"/>
      <c r="D26" s="1"/>
      <c r="E26" s="1"/>
    </row>
    <row r="27" spans="1:5" x14ac:dyDescent="0.25">
      <c r="A27" s="1"/>
      <c r="B27" s="97" t="s">
        <v>184</v>
      </c>
      <c r="C27" s="98"/>
      <c r="D27" s="99"/>
      <c r="E27" s="1"/>
    </row>
    <row r="28" spans="1:5" x14ac:dyDescent="0.25">
      <c r="A28" s="1"/>
      <c r="B28" s="57" t="s">
        <v>65</v>
      </c>
      <c r="C28" s="9">
        <f>IF(C17&lt;0,IF(C24&lt;0,SUM(C17,C24),IF(C9&gt;0,SUM(C9:C10),C17)),IF(AND(C24&lt;0,SUM(C24,C10)&lt;0),IF(C10&lt;0,C24,IF(SUM(C9:C10)&gt;0,SUM(C24,C10),IF(AND(C24&lt;0,C17=0,C10&gt;0),IF(SUM(C9:C10)&gt;0,C24+C10,C24)))),IF(AND(SUM(C9:C10)&lt;0,C17=0,C24&lt;0),C24,0)))</f>
        <v>0</v>
      </c>
      <c r="D28" s="14" t="s">
        <v>3</v>
      </c>
      <c r="E28" s="1"/>
    </row>
    <row r="29" spans="1:5" x14ac:dyDescent="0.25">
      <c r="A29" s="1"/>
      <c r="B29" s="57" t="s">
        <v>48</v>
      </c>
      <c r="C29" s="9">
        <v>2</v>
      </c>
      <c r="D29" s="14" t="s">
        <v>18</v>
      </c>
      <c r="E29" s="1"/>
    </row>
    <row r="30" spans="1:5" x14ac:dyDescent="0.25">
      <c r="A30" s="1"/>
      <c r="B30" s="58" t="s">
        <v>64</v>
      </c>
      <c r="C30" s="10">
        <f>C28/C29</f>
        <v>0</v>
      </c>
      <c r="D30" s="17" t="s">
        <v>3</v>
      </c>
      <c r="E30" s="1"/>
    </row>
    <row r="31" spans="1:5" x14ac:dyDescent="0.25">
      <c r="A31" s="1"/>
      <c r="B31" s="109"/>
      <c r="C31" s="110"/>
      <c r="D31" s="11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MkwhX75TXU5Wr59HlSSHsRlZw26mqfd+WG3AHY7EHcdAFyK3E6ISXXWvILBwSno4nuAi+tR2lOFX8EJqNgzOcA==" saltValue="kf+9JYa5hrNXvG3F/sq7pg=="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5" t="s">
        <v>96</v>
      </c>
      <c r="C3" s="95"/>
      <c r="D3" s="95"/>
      <c r="E3" s="1"/>
    </row>
    <row r="4" spans="1:5" ht="15" customHeight="1" x14ac:dyDescent="0.25">
      <c r="A4" s="1"/>
      <c r="B4" s="95"/>
      <c r="C4" s="95"/>
      <c r="D4" s="95"/>
      <c r="E4" s="1"/>
    </row>
    <row r="5" spans="1:5" x14ac:dyDescent="0.25">
      <c r="A5" s="1"/>
      <c r="B5" s="95"/>
      <c r="C5" s="95"/>
      <c r="D5" s="95"/>
      <c r="E5" s="1"/>
    </row>
    <row r="6" spans="1:5" x14ac:dyDescent="0.25">
      <c r="A6" s="1"/>
      <c r="B6" s="1"/>
      <c r="C6" s="1"/>
      <c r="D6" s="1"/>
      <c r="E6" s="1"/>
    </row>
    <row r="7" spans="1:5" x14ac:dyDescent="0.25">
      <c r="A7" s="1"/>
      <c r="B7" s="1"/>
      <c r="C7" s="1"/>
      <c r="D7" s="1"/>
      <c r="E7" s="1"/>
    </row>
    <row r="8" spans="1:5" x14ac:dyDescent="0.25">
      <c r="A8" s="1"/>
      <c r="B8" s="97" t="s">
        <v>97</v>
      </c>
      <c r="C8" s="98"/>
      <c r="D8" s="99"/>
      <c r="E8" s="1"/>
    </row>
    <row r="9" spans="1:5" ht="15" customHeight="1" x14ac:dyDescent="0.25">
      <c r="A9" s="1"/>
      <c r="B9" s="112" t="s">
        <v>123</v>
      </c>
      <c r="C9" s="113"/>
      <c r="D9" s="114"/>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8"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JDopzNqHdzdHbfESZ+7L6d+dBTK2QZjV8eRtTk3MfPXAj+iXq7+Yt2fqjzFBaXvXwHtlVL4ADKlZGazrdyaIVA==" saltValue="h+IVhqa9wz5xWDz+O5x32g=="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3" t="s">
        <v>90</v>
      </c>
      <c r="C3" s="93"/>
      <c r="D3" s="93"/>
      <c r="E3" s="93"/>
      <c r="F3" s="93"/>
      <c r="G3" s="93"/>
      <c r="H3" s="93"/>
      <c r="I3" s="93"/>
      <c r="J3" s="93"/>
      <c r="K3" s="93"/>
      <c r="L3" s="1"/>
    </row>
    <row r="4" spans="1:12" ht="15" customHeight="1" x14ac:dyDescent="0.25">
      <c r="A4" s="1"/>
      <c r="B4" s="93"/>
      <c r="C4" s="93"/>
      <c r="D4" s="93"/>
      <c r="E4" s="93"/>
      <c r="F4" s="93"/>
      <c r="G4" s="93"/>
      <c r="H4" s="93"/>
      <c r="I4" s="93"/>
      <c r="J4" s="93"/>
      <c r="K4" s="93"/>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7" t="s">
        <v>74</v>
      </c>
      <c r="C8" s="98"/>
      <c r="D8" s="98"/>
      <c r="E8" s="98"/>
      <c r="F8" s="98"/>
      <c r="G8" s="98"/>
      <c r="H8" s="98"/>
      <c r="I8" s="98"/>
      <c r="J8" s="98"/>
      <c r="K8" s="99"/>
      <c r="L8" s="1"/>
    </row>
    <row r="9" spans="1:12" ht="39.75" customHeight="1" x14ac:dyDescent="0.25">
      <c r="A9" s="1"/>
      <c r="B9" s="18" t="s">
        <v>0</v>
      </c>
      <c r="C9" s="18" t="s">
        <v>1</v>
      </c>
      <c r="D9" s="115" t="s">
        <v>83</v>
      </c>
      <c r="E9" s="116"/>
      <c r="F9" s="115" t="s">
        <v>2</v>
      </c>
      <c r="G9" s="116"/>
      <c r="H9" s="115" t="s">
        <v>84</v>
      </c>
      <c r="I9" s="116"/>
      <c r="J9" s="115" t="s">
        <v>25</v>
      </c>
      <c r="K9" s="116"/>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0"/>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wRVoDywbOX/OKAXxTW2a0K2/EqPbmDJ+hfUtCBovsN+1c7PActchQm2/DpsaS5zCIbirqOnDa265Qs/lPU5XYQ==" saltValue="WYliH5ky6pHE/WiY9y03l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91</v>
      </c>
      <c r="C3" s="93"/>
      <c r="D3" s="93"/>
      <c r="E3" s="93"/>
      <c r="F3" s="93"/>
      <c r="G3" s="1"/>
    </row>
    <row r="4" spans="1:7" ht="1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1" t="s">
        <v>15</v>
      </c>
      <c r="C9" s="73" t="s">
        <v>10</v>
      </c>
      <c r="D9" s="72"/>
      <c r="E9" s="73"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205</v>
      </c>
      <c r="C11" s="21">
        <v>0</v>
      </c>
      <c r="D11" s="14" t="s">
        <v>3</v>
      </c>
      <c r="E11" s="9">
        <v>625942</v>
      </c>
      <c r="F11" s="14" t="s">
        <v>3</v>
      </c>
      <c r="G11" s="1"/>
    </row>
    <row r="12" spans="1:7" x14ac:dyDescent="0.25">
      <c r="A12" s="1"/>
      <c r="B12" s="26" t="s">
        <v>206</v>
      </c>
      <c r="C12" s="21">
        <v>136895.22</v>
      </c>
      <c r="D12" s="14" t="s">
        <v>3</v>
      </c>
      <c r="E12" s="9">
        <v>0</v>
      </c>
      <c r="F12" s="14" t="s">
        <v>3</v>
      </c>
      <c r="G12" s="1"/>
    </row>
    <row r="13" spans="1:7" x14ac:dyDescent="0.25">
      <c r="A13" s="1"/>
      <c r="B13" s="26" t="s">
        <v>207</v>
      </c>
      <c r="C13" s="21">
        <v>92133.96</v>
      </c>
      <c r="D13" s="14" t="s">
        <v>3</v>
      </c>
      <c r="E13" s="9">
        <v>0</v>
      </c>
      <c r="F13" s="14" t="s">
        <v>3</v>
      </c>
      <c r="G13" s="1"/>
    </row>
    <row r="14" spans="1:7" x14ac:dyDescent="0.25">
      <c r="A14" s="1"/>
      <c r="B14" s="26" t="s">
        <v>208</v>
      </c>
      <c r="C14" s="21">
        <v>0</v>
      </c>
      <c r="D14" s="14" t="s">
        <v>3</v>
      </c>
      <c r="E14" s="9">
        <v>135043</v>
      </c>
      <c r="F14" s="14" t="s">
        <v>3</v>
      </c>
      <c r="G14" s="1"/>
    </row>
    <row r="15" spans="1:7" x14ac:dyDescent="0.25">
      <c r="A15" s="1"/>
      <c r="B15" s="26" t="s">
        <v>209</v>
      </c>
      <c r="C15" s="21">
        <v>434332</v>
      </c>
      <c r="D15" s="14" t="s">
        <v>3</v>
      </c>
      <c r="E15" s="9">
        <v>81462</v>
      </c>
      <c r="F15" s="14" t="s">
        <v>3</v>
      </c>
      <c r="G15" s="1"/>
    </row>
    <row r="16" spans="1:7" x14ac:dyDescent="0.25">
      <c r="A16" s="1"/>
      <c r="B16" s="26" t="s">
        <v>210</v>
      </c>
      <c r="C16" s="21">
        <v>0</v>
      </c>
      <c r="D16" s="14" t="s">
        <v>3</v>
      </c>
      <c r="E16" s="9">
        <v>106622</v>
      </c>
      <c r="F16" s="14" t="s">
        <v>3</v>
      </c>
      <c r="G16" s="1"/>
    </row>
    <row r="17" spans="1:7" x14ac:dyDescent="0.25">
      <c r="A17" s="1"/>
      <c r="B17" s="52" t="s">
        <v>112</v>
      </c>
      <c r="C17" s="12">
        <f>SUM(C10:C16)</f>
        <v>663361.17999999993</v>
      </c>
      <c r="D17" s="13" t="s">
        <v>3</v>
      </c>
      <c r="E17" s="12">
        <f>SUM(E10:E16)</f>
        <v>949069</v>
      </c>
      <c r="F17" s="13" t="s">
        <v>3</v>
      </c>
      <c r="G17" s="1"/>
    </row>
    <row r="18" spans="1:7" x14ac:dyDescent="0.25">
      <c r="A18" s="1"/>
      <c r="B18" s="52" t="s">
        <v>147</v>
      </c>
      <c r="C18" s="12">
        <f>C17*(1+'Fane 13. Nøgletal'!C11)</f>
        <v>707342.02623399999</v>
      </c>
      <c r="D18" s="13" t="s">
        <v>3</v>
      </c>
      <c r="E18" s="12">
        <f>E17*(1+'Fane 13. Nøgletal'!C11)</f>
        <v>1011992.2747000001</v>
      </c>
      <c r="F18" s="13" t="s">
        <v>3</v>
      </c>
      <c r="G18" s="1"/>
    </row>
    <row r="19" spans="1:7" x14ac:dyDescent="0.25">
      <c r="A19" s="1"/>
      <c r="B19" s="1"/>
      <c r="C19" s="1" t="s">
        <v>82</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POoSe33SfULjeNvtWDg61ZVConN1myq58VvkXl8bKT0x1yojarpr/8fesguh4yHmhYhmBIj2NuC42ECT4MjxyQ==" saltValue="5i4ijExe2xy/RR+be8l2d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92</v>
      </c>
      <c r="C3" s="93"/>
      <c r="D3" s="93"/>
      <c r="E3" s="93"/>
      <c r="F3" s="93"/>
      <c r="G3" s="1"/>
    </row>
    <row r="4" spans="1:7" ht="1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7" t="s">
        <v>150</v>
      </c>
      <c r="C8" s="98"/>
      <c r="D8" s="98"/>
      <c r="E8" s="98"/>
      <c r="F8" s="99"/>
      <c r="G8" s="1"/>
    </row>
    <row r="9" spans="1:7" x14ac:dyDescent="0.25">
      <c r="A9" s="1"/>
      <c r="B9" s="71" t="s">
        <v>15</v>
      </c>
      <c r="C9" s="73" t="s">
        <v>10</v>
      </c>
      <c r="D9" s="74"/>
      <c r="E9" s="73" t="s">
        <v>26</v>
      </c>
      <c r="F9" s="27"/>
      <c r="G9" s="1"/>
    </row>
    <row r="10" spans="1:7" x14ac:dyDescent="0.25">
      <c r="A10" s="1"/>
      <c r="B10" s="23" t="s">
        <v>211</v>
      </c>
      <c r="C10" s="21">
        <v>92605</v>
      </c>
      <c r="D10" s="14" t="s">
        <v>3</v>
      </c>
      <c r="E10" s="9">
        <v>0</v>
      </c>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2" t="s">
        <v>148</v>
      </c>
      <c r="C13" s="12">
        <f>SUM(C10:C12)</f>
        <v>92605</v>
      </c>
      <c r="D13" s="13" t="s">
        <v>3</v>
      </c>
      <c r="E13" s="12">
        <f>SUM(E10:E12)</f>
        <v>0</v>
      </c>
      <c r="F13" s="13" t="s">
        <v>3</v>
      </c>
      <c r="G13" s="1"/>
    </row>
    <row r="14" spans="1:7" x14ac:dyDescent="0.25">
      <c r="A14" s="1"/>
      <c r="B14" s="52" t="s">
        <v>149</v>
      </c>
      <c r="C14" s="12">
        <f>C13*(1+'Fane 13. Nøgletal'!$C$11)^2</f>
        <v>105291.48587244999</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k2RB4zdjJ9A1/jo6EkeOhrP4uVIIPWUXaOcxaWbvS82iW43y3URv1PVSarUrU6l9616kRrGTgFhsiBDLQHE+cg==" saltValue="rJ05p03HWqw2FMxeAhLW2g=="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93</v>
      </c>
      <c r="C3" s="95"/>
      <c r="D3" s="95"/>
      <c r="E3" s="95"/>
      <c r="F3" s="95"/>
      <c r="G3" s="1"/>
    </row>
    <row r="4" spans="1:7" ht="15" customHeight="1" x14ac:dyDescent="0.25">
      <c r="A4" s="1"/>
      <c r="B4" s="95"/>
      <c r="C4" s="95"/>
      <c r="D4" s="95"/>
      <c r="E4" s="95"/>
      <c r="F4" s="95"/>
      <c r="G4" s="1"/>
    </row>
    <row r="5" spans="1:7" x14ac:dyDescent="0.25">
      <c r="A5" s="1"/>
      <c r="B5" s="95"/>
      <c r="C5" s="95"/>
      <c r="D5" s="95"/>
      <c r="E5" s="95"/>
      <c r="F5" s="95"/>
      <c r="G5" s="1"/>
    </row>
    <row r="6" spans="1:7" x14ac:dyDescent="0.25">
      <c r="A6" s="1"/>
      <c r="B6" s="1"/>
      <c r="C6" s="1"/>
      <c r="D6" s="1"/>
      <c r="E6" s="1"/>
      <c r="F6" s="1"/>
      <c r="G6" s="1"/>
    </row>
    <row r="7" spans="1:7" x14ac:dyDescent="0.25">
      <c r="A7" s="1"/>
      <c r="B7" s="1"/>
      <c r="C7" s="1"/>
      <c r="D7" s="1"/>
      <c r="E7" s="1"/>
      <c r="F7" s="1"/>
      <c r="G7" s="1"/>
    </row>
    <row r="8" spans="1:7" x14ac:dyDescent="0.25">
      <c r="A8" s="1"/>
      <c r="B8" s="97" t="s">
        <v>59</v>
      </c>
      <c r="C8" s="98"/>
      <c r="D8" s="98"/>
      <c r="E8" s="98"/>
      <c r="F8" s="99"/>
      <c r="G8" s="1"/>
    </row>
    <row r="9" spans="1:7" ht="15" customHeight="1" x14ac:dyDescent="0.25">
      <c r="A9" s="1"/>
      <c r="B9" s="54" t="s">
        <v>60</v>
      </c>
      <c r="C9" s="117" t="s">
        <v>10</v>
      </c>
      <c r="D9" s="118"/>
      <c r="E9" s="117" t="s">
        <v>26</v>
      </c>
      <c r="F9" s="118"/>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D/5hR5BcKWiDv5qA43RX55Mb9nrCZYX6u88n+SWBjWA7ygL8wtIyz1F7eVDCBx7AvHt65/iAarIJzp7D8AABaQ==" saltValue="lni6AeWpU8Yx1BK+PZqhPA=="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94</v>
      </c>
      <c r="C3" s="95"/>
      <c r="D3" s="95"/>
      <c r="E3" s="95"/>
      <c r="F3" s="95"/>
      <c r="G3" s="1"/>
    </row>
    <row r="4" spans="1:7" ht="15" customHeight="1" x14ac:dyDescent="0.25">
      <c r="A4" s="1"/>
      <c r="B4" s="95"/>
      <c r="C4" s="95"/>
      <c r="D4" s="95"/>
      <c r="E4" s="95"/>
      <c r="F4" s="95"/>
      <c r="G4" s="1"/>
    </row>
    <row r="5" spans="1:7" x14ac:dyDescent="0.25">
      <c r="A5" s="1"/>
      <c r="B5" s="95"/>
      <c r="C5" s="95"/>
      <c r="D5" s="95"/>
      <c r="E5" s="95"/>
      <c r="F5" s="95"/>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7" t="s">
        <v>152</v>
      </c>
      <c r="C8" s="98"/>
      <c r="D8" s="98"/>
      <c r="E8" s="98"/>
      <c r="F8" s="99"/>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I/ZjiM0XpUaNZ2bpEeDNz795wkaLjz6mRjdCSw3c+ghqEbY/hANQdvD0UbgW31ZiDrkywVutgiGDLytNi5mVuA==" saltValue="5YfzNa4irxmp16AdhbaMvw=="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5" t="s">
        <v>95</v>
      </c>
      <c r="C3" s="95"/>
      <c r="D3" s="1"/>
    </row>
    <row r="4" spans="1:4" ht="15" customHeight="1" x14ac:dyDescent="0.25">
      <c r="A4" s="1"/>
      <c r="B4" s="95"/>
      <c r="C4" s="95"/>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196</v>
      </c>
      <c r="C11" s="49">
        <v>6.6299999999999998E-2</v>
      </c>
      <c r="D11" s="1"/>
    </row>
    <row r="12" spans="1:4" x14ac:dyDescent="0.25">
      <c r="A12" s="1"/>
      <c r="B12" s="97"/>
      <c r="C12" s="99"/>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197</v>
      </c>
      <c r="C18" s="63">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0MW7M8k+uVs1P3BfThKGiDX+S7qrKvecca5mKYQS45uvyMFt8pLtV/mTEnFshiSp12NdwDjGt6V1ICO/n7H/g==" saltValue="i6hiDG3rpq4/0NI1TyE7qA=="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128</v>
      </c>
      <c r="C3" s="93"/>
      <c r="D3" s="93"/>
      <c r="E3" s="1"/>
    </row>
    <row r="4" spans="1:5" ht="15" customHeight="1" x14ac:dyDescent="0.25">
      <c r="A4" s="1"/>
      <c r="B4" s="93"/>
      <c r="C4" s="93"/>
      <c r="D4" s="9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157828771.03356197</v>
      </c>
      <c r="D9" s="8" t="s">
        <v>3</v>
      </c>
      <c r="E9" s="1"/>
    </row>
    <row r="10" spans="1:5" ht="17.100000000000001" customHeight="1" x14ac:dyDescent="0.25">
      <c r="A10" s="1"/>
      <c r="B10" s="24" t="s">
        <v>32</v>
      </c>
      <c r="C10" s="7">
        <f>'Fane 10.1. Varige tillæg'!C18</f>
        <v>707342.02623399999</v>
      </c>
      <c r="D10" s="8" t="s">
        <v>3</v>
      </c>
      <c r="E10" s="1"/>
    </row>
    <row r="11" spans="1:5" ht="17.100000000000001" customHeight="1" x14ac:dyDescent="0.25">
      <c r="A11" s="1"/>
      <c r="B11" s="24" t="s">
        <v>33</v>
      </c>
      <c r="C11" s="9">
        <f>'Fane 10.1. Varige tillæg'!E18</f>
        <v>1011992.2747000001</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10578039.383677082</v>
      </c>
      <c r="D16" s="8" t="s">
        <v>3</v>
      </c>
      <c r="E16" s="1"/>
    </row>
    <row r="17" spans="1:5" ht="17.100000000000001" customHeight="1" x14ac:dyDescent="0.25">
      <c r="A17" s="1"/>
      <c r="B17" s="24" t="s">
        <v>9</v>
      </c>
      <c r="C17" s="9">
        <f>-SUM(C9:C16)*'Fane 5. Individuelt eff. krav'!C9</f>
        <v>-3402522.8943634611</v>
      </c>
      <c r="D17" s="8" t="s">
        <v>3</v>
      </c>
      <c r="E17" s="1"/>
    </row>
    <row r="18" spans="1:5" ht="17.100000000000001" customHeight="1" x14ac:dyDescent="0.25">
      <c r="A18" s="1"/>
      <c r="B18" s="24" t="s">
        <v>21</v>
      </c>
      <c r="C18" s="9">
        <f>-'Fane 4.1. Gen. krav - drift'!C17</f>
        <v>-1251506.7574376615</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3" t="s">
        <v>19</v>
      </c>
      <c r="C20" s="10">
        <f>SUM(C9:C19)</f>
        <v>165472115.06637192</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79130703.372908205</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105291.48587244999</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-4211.6594348979997</v>
      </c>
      <c r="D26" s="8" t="s">
        <v>3</v>
      </c>
      <c r="E26" s="1"/>
    </row>
    <row r="27" spans="1:5" ht="15" customHeight="1" x14ac:dyDescent="0.25">
      <c r="A27" s="1"/>
      <c r="B27" s="24" t="s">
        <v>80</v>
      </c>
      <c r="C27" s="9">
        <f>-C25*('Fane 13. Nøgletal'!C18+'Fane 5. Individuelt eff. krav'!C9)</f>
        <v>0</v>
      </c>
      <c r="D27" s="8" t="s">
        <v>3</v>
      </c>
      <c r="E27" s="1"/>
    </row>
    <row r="28" spans="1:5" x14ac:dyDescent="0.25">
      <c r="A28" s="1"/>
      <c r="B28" s="73" t="s">
        <v>40</v>
      </c>
      <c r="C28" s="50">
        <f>SUM(C24:C27)</f>
        <v>101079.82643755199</v>
      </c>
      <c r="D28" s="11" t="s">
        <v>3</v>
      </c>
      <c r="E28" s="1"/>
    </row>
    <row r="29" spans="1:5" ht="15" customHeight="1" x14ac:dyDescent="0.25">
      <c r="A29" s="1"/>
      <c r="B29" s="25" t="s">
        <v>65</v>
      </c>
      <c r="C29" s="53"/>
      <c r="D29" s="19"/>
      <c r="E29" s="1"/>
    </row>
    <row r="30" spans="1:5" x14ac:dyDescent="0.25">
      <c r="A30" s="1"/>
      <c r="B30" s="58" t="s">
        <v>66</v>
      </c>
      <c r="C30" s="10">
        <f>'Fane 7. Kontrol af ØR2023'!C30</f>
        <v>0</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52" t="s">
        <v>69</v>
      </c>
      <c r="C33" s="29">
        <f>SUM(C20,C22,C28,C30,C32)</f>
        <v>244703898.26571769</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Iwjl8u4elf4c4HTgn5nReN2lllPlzA/C0CB1kL+ZIZzRIzrbu3Y3XD1A/OMXLaG1vhLdStri3ZEjkNIfJSWKGA==" saltValue="H9l70DK9TTz2+h7zttGsM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129</v>
      </c>
      <c r="C3" s="93"/>
      <c r="D3" s="93"/>
      <c r="E3" s="1"/>
    </row>
    <row r="4" spans="1:5" ht="15" customHeight="1" x14ac:dyDescent="0.25">
      <c r="A4" s="1"/>
      <c r="B4" s="93"/>
      <c r="C4" s="93"/>
      <c r="D4" s="93"/>
      <c r="E4" s="1"/>
    </row>
    <row r="5" spans="1:5" x14ac:dyDescent="0.25">
      <c r="A5" s="1"/>
      <c r="B5" s="94"/>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165472115.06637192</v>
      </c>
      <c r="D9" s="8" t="s">
        <v>3</v>
      </c>
      <c r="E9" s="1"/>
    </row>
    <row r="10" spans="1:5" ht="15" customHeight="1" x14ac:dyDescent="0.25">
      <c r="A10" s="1"/>
      <c r="B10" s="47" t="s">
        <v>17</v>
      </c>
      <c r="C10" s="41">
        <f>C9*'Fane 13. Nøgletal'!C11</f>
        <v>10970801.228900459</v>
      </c>
      <c r="D10" s="8" t="s">
        <v>3</v>
      </c>
      <c r="E10" s="1"/>
    </row>
    <row r="11" spans="1:5" ht="15" customHeight="1" x14ac:dyDescent="0.25">
      <c r="A11" s="1"/>
      <c r="B11" s="47" t="s">
        <v>9</v>
      </c>
      <c r="C11" s="9">
        <f>-SUM(C9:C10)*'Fane 5. Individuelt eff. krav'!C9</f>
        <v>-3528858.3259054478</v>
      </c>
      <c r="D11" s="8" t="s">
        <v>3</v>
      </c>
      <c r="E11" s="1"/>
    </row>
    <row r="12" spans="1:5" ht="15" customHeight="1" x14ac:dyDescent="0.25">
      <c r="A12" s="1"/>
      <c r="B12" s="47" t="s">
        <v>21</v>
      </c>
      <c r="C12" s="9">
        <f>-'Fane 4.1. Gen. krav - drift'!C22</f>
        <v>-1307792.0223466631</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171606265.94702026</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84377069.006532013</v>
      </c>
      <c r="D16" s="11" t="s">
        <v>3</v>
      </c>
      <c r="E16" s="1"/>
    </row>
    <row r="17" spans="1:5" x14ac:dyDescent="0.25">
      <c r="A17" s="1"/>
      <c r="B17" s="25" t="s">
        <v>65</v>
      </c>
      <c r="C17" s="53"/>
      <c r="D17" s="19"/>
      <c r="E17" s="1"/>
    </row>
    <row r="18" spans="1:5" ht="15" customHeight="1" x14ac:dyDescent="0.25">
      <c r="A18" s="1"/>
      <c r="B18" s="45" t="s">
        <v>66</v>
      </c>
      <c r="C18" s="10">
        <f>'Fane 7. Kontrol af ØR2023'!C30</f>
        <v>0</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255983334.95355228</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WFUyKvIc5BWdmezwgahXRSQVqNj+VCbZq2zj7SpuDCjXZOfnmYzywWI/RwQQHQH2L40icDNb+7ntQDUlD/9tcQ==" saltValue="2o+fOue94cOV9GaYUVx7N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130</v>
      </c>
      <c r="C3" s="93"/>
      <c r="D3" s="93"/>
      <c r="E3" s="1"/>
    </row>
    <row r="4" spans="1:5" ht="15" customHeight="1" x14ac:dyDescent="0.25">
      <c r="A4" s="1"/>
      <c r="B4" s="93"/>
      <c r="C4" s="93"/>
      <c r="D4" s="93"/>
      <c r="E4" s="1"/>
    </row>
    <row r="5" spans="1:5" x14ac:dyDescent="0.25">
      <c r="A5" s="1"/>
      <c r="B5" s="94" t="s">
        <v>20</v>
      </c>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171606265.94702026</v>
      </c>
      <c r="D9" s="8" t="s">
        <v>3</v>
      </c>
      <c r="E9" s="1"/>
    </row>
    <row r="10" spans="1:5" ht="15" customHeight="1" x14ac:dyDescent="0.25">
      <c r="A10" s="1"/>
      <c r="B10" s="47" t="s">
        <v>17</v>
      </c>
      <c r="C10" s="41">
        <f>C9*'Fane 13. Nøgletal'!C11</f>
        <v>11377495.432287443</v>
      </c>
      <c r="D10" s="8" t="s">
        <v>3</v>
      </c>
      <c r="E10" s="1"/>
    </row>
    <row r="11" spans="1:5" ht="15" customHeight="1" x14ac:dyDescent="0.25">
      <c r="A11" s="1"/>
      <c r="B11" s="47" t="s">
        <v>9</v>
      </c>
      <c r="C11" s="9">
        <f>-SUM(C9:C10)*'Fane 5. Individuelt eff. krav'!C9</f>
        <v>-3659675.2275861544</v>
      </c>
      <c r="D11" s="8" t="s">
        <v>3</v>
      </c>
      <c r="E11" s="1"/>
    </row>
    <row r="12" spans="1:5" ht="15" customHeight="1" x14ac:dyDescent="0.25">
      <c r="A12" s="1"/>
      <c r="B12" s="47" t="s">
        <v>21</v>
      </c>
      <c r="C12" s="9">
        <f>-'Fane 4.1. Gen. krav - drift'!C27</f>
        <v>-1366608.6607596821</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177957477.49096188</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89971268.681665093</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267928746.17262697</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p/LHudm7em8juaCLGRu4a74cqJHoY7srj1f496rkwjlBWw84jQbpJAoBz/iGWyTAohhkzSr9kMuscrn7aImr/w==" saltValue="pL3yWFxLtoyGrmF/I6z/m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131</v>
      </c>
      <c r="C3" s="93"/>
      <c r="D3" s="93"/>
      <c r="E3" s="1"/>
    </row>
    <row r="4" spans="1:5" ht="15" customHeight="1" x14ac:dyDescent="0.25">
      <c r="A4" s="1"/>
      <c r="B4" s="93"/>
      <c r="C4" s="93"/>
      <c r="D4" s="93"/>
      <c r="E4" s="1"/>
    </row>
    <row r="5" spans="1:5" x14ac:dyDescent="0.25">
      <c r="A5" s="1"/>
      <c r="B5" s="94" t="s">
        <v>20</v>
      </c>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177957477.49096188</v>
      </c>
      <c r="D9" s="8" t="s">
        <v>3</v>
      </c>
      <c r="E9" s="1"/>
    </row>
    <row r="10" spans="1:5" ht="15" customHeight="1" x14ac:dyDescent="0.25">
      <c r="A10" s="1"/>
      <c r="B10" s="47" t="s">
        <v>17</v>
      </c>
      <c r="C10" s="9">
        <f>C9*'Fane 13. Nøgletal'!C11</f>
        <v>11798580.757650772</v>
      </c>
      <c r="D10" s="8" t="s">
        <v>3</v>
      </c>
      <c r="E10" s="1"/>
    </row>
    <row r="11" spans="1:5" ht="15" customHeight="1" x14ac:dyDescent="0.25">
      <c r="A11" s="1"/>
      <c r="B11" s="47" t="s">
        <v>9</v>
      </c>
      <c r="C11" s="9">
        <f>-SUM(C9:C10)*'Fane 5. Individuelt eff. krav'!C9</f>
        <v>-3795121.1649722531</v>
      </c>
      <c r="D11" s="8" t="s">
        <v>3</v>
      </c>
      <c r="E11" s="1"/>
    </row>
    <row r="12" spans="1:5" ht="15" customHeight="1" x14ac:dyDescent="0.25">
      <c r="A12" s="1"/>
      <c r="B12" s="47" t="s">
        <v>21</v>
      </c>
      <c r="C12" s="9">
        <f>-'Fane 4.1. Gen. krav - drift'!C32</f>
        <v>-1428070.5186686879</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184532866.56497172</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95936363.795259491</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280469230.36023122</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ICD+BgLwerwZ++U77nkwfK7hC9g+QalcGJIdD8Il0NOUR8+GGGMViUuTaK6VTvjNAXxWhnpuyiBOtAMCvY5VYQ==" saltValue="cwrT3ga5+PXSCLNRjfewk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2"/>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5" t="s">
        <v>134</v>
      </c>
      <c r="C3" s="95"/>
      <c r="D3" s="95"/>
      <c r="E3" s="1"/>
    </row>
    <row r="4" spans="1:5" ht="15" customHeight="1" x14ac:dyDescent="0.25">
      <c r="A4" s="1"/>
      <c r="B4" s="95"/>
      <c r="C4" s="95"/>
      <c r="D4" s="95"/>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150561704.71156198</v>
      </c>
      <c r="D9" s="8" t="s">
        <v>3</v>
      </c>
      <c r="E9" s="1"/>
    </row>
    <row r="10" spans="1:5" x14ac:dyDescent="0.25">
      <c r="A10" s="1"/>
      <c r="B10" s="24" t="s">
        <v>32</v>
      </c>
      <c r="C10" s="7">
        <v>1127395.4495999999</v>
      </c>
      <c r="D10" s="8" t="s">
        <v>3</v>
      </c>
      <c r="E10" s="1"/>
    </row>
    <row r="11" spans="1:5" ht="15" customHeight="1" x14ac:dyDescent="0.25">
      <c r="A11" s="1"/>
      <c r="B11" s="24" t="s">
        <v>33</v>
      </c>
      <c r="C11" s="9">
        <v>4734392.5215999996</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5833629.1558045661</v>
      </c>
      <c r="D16" s="8" t="s">
        <v>3</v>
      </c>
      <c r="E16" s="1"/>
    </row>
    <row r="17" spans="1:5" x14ac:dyDescent="0.25">
      <c r="A17" s="1"/>
      <c r="B17" s="24" t="s">
        <v>9</v>
      </c>
      <c r="C17" s="9">
        <v>-3245142.4367713314</v>
      </c>
      <c r="D17" s="8" t="s">
        <v>3</v>
      </c>
      <c r="E17" s="1"/>
    </row>
    <row r="18" spans="1:5" x14ac:dyDescent="0.25">
      <c r="A18" s="1"/>
      <c r="B18" s="24" t="s">
        <v>21</v>
      </c>
      <c r="C18" s="9">
        <v>-1183208.3682332719</v>
      </c>
      <c r="D18" s="8" t="s">
        <v>3</v>
      </c>
      <c r="E18" s="1"/>
    </row>
    <row r="19" spans="1:5" x14ac:dyDescent="0.25">
      <c r="A19" s="1"/>
      <c r="B19" s="24" t="s">
        <v>22</v>
      </c>
      <c r="C19" s="9">
        <v>0</v>
      </c>
      <c r="D19" s="8" t="s">
        <v>3</v>
      </c>
      <c r="E19" s="1"/>
    </row>
    <row r="20" spans="1:5" x14ac:dyDescent="0.25">
      <c r="A20" s="1"/>
      <c r="B20" s="73" t="s">
        <v>19</v>
      </c>
      <c r="C20" s="10">
        <v>157828771.03356197</v>
      </c>
      <c r="D20" s="11" t="s">
        <v>3</v>
      </c>
      <c r="E20" s="1"/>
    </row>
    <row r="21" spans="1:5" x14ac:dyDescent="0.25">
      <c r="A21" s="1"/>
      <c r="B21" s="52" t="s">
        <v>11</v>
      </c>
      <c r="C21" s="53"/>
      <c r="D21" s="19"/>
      <c r="E21" s="1"/>
    </row>
    <row r="22" spans="1:5" x14ac:dyDescent="0.25">
      <c r="A22" s="1"/>
      <c r="B22" s="54" t="s">
        <v>11</v>
      </c>
      <c r="C22" s="10">
        <v>80996524.834753916</v>
      </c>
      <c r="D22" s="11" t="s">
        <v>3</v>
      </c>
      <c r="E22" s="1"/>
    </row>
    <row r="23" spans="1:5" x14ac:dyDescent="0.25">
      <c r="A23" s="1"/>
      <c r="B23" s="52" t="s">
        <v>39</v>
      </c>
      <c r="C23" s="53"/>
      <c r="D23" s="19"/>
      <c r="E23" s="1"/>
    </row>
    <row r="24" spans="1:5" ht="15" customHeight="1" x14ac:dyDescent="0.25">
      <c r="A24" s="1"/>
      <c r="B24" s="24" t="s">
        <v>35</v>
      </c>
      <c r="C24" s="9">
        <v>530625.93910592003</v>
      </c>
      <c r="D24" s="8" t="s">
        <v>3</v>
      </c>
      <c r="E24" s="1"/>
    </row>
    <row r="25" spans="1:5" ht="14.25" customHeight="1" x14ac:dyDescent="0.25">
      <c r="A25" s="1"/>
      <c r="B25" s="24" t="s">
        <v>36</v>
      </c>
      <c r="C25" s="9">
        <v>0</v>
      </c>
      <c r="D25" s="8" t="s">
        <v>3</v>
      </c>
      <c r="E25" s="1"/>
    </row>
    <row r="26" spans="1:5" ht="14.25" customHeight="1" x14ac:dyDescent="0.25">
      <c r="A26" s="1"/>
      <c r="B26" s="24" t="s">
        <v>79</v>
      </c>
      <c r="C26" s="9">
        <v>-21225.037564236802</v>
      </c>
      <c r="D26" s="8" t="s">
        <v>3</v>
      </c>
      <c r="E26" s="1"/>
    </row>
    <row r="27" spans="1:5" ht="14.25" customHeight="1" x14ac:dyDescent="0.25">
      <c r="A27" s="1"/>
      <c r="B27" s="24" t="s">
        <v>80</v>
      </c>
      <c r="C27" s="9">
        <v>0</v>
      </c>
      <c r="D27" s="8" t="s">
        <v>3</v>
      </c>
      <c r="E27" s="1"/>
    </row>
    <row r="28" spans="1:5" ht="14.25" customHeight="1" x14ac:dyDescent="0.25">
      <c r="A28" s="1"/>
      <c r="B28" s="73" t="s">
        <v>40</v>
      </c>
      <c r="C28" s="10">
        <v>509400.90154168324</v>
      </c>
      <c r="D28" s="11" t="s">
        <v>3</v>
      </c>
      <c r="E28" s="1"/>
    </row>
    <row r="29" spans="1:5" x14ac:dyDescent="0.25">
      <c r="A29" s="1"/>
      <c r="B29" s="25" t="s">
        <v>65</v>
      </c>
      <c r="C29" s="53"/>
      <c r="D29" s="19"/>
      <c r="E29" s="1"/>
    </row>
    <row r="30" spans="1:5" x14ac:dyDescent="0.25">
      <c r="A30" s="1"/>
      <c r="B30" s="58" t="s">
        <v>66</v>
      </c>
      <c r="C30" s="10">
        <v>3371234</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25" t="s">
        <v>193</v>
      </c>
      <c r="C33" s="53"/>
      <c r="D33" s="19"/>
      <c r="E33" s="1"/>
    </row>
    <row r="34" spans="1:5" ht="15.6" customHeight="1" x14ac:dyDescent="0.25">
      <c r="A34" s="1"/>
      <c r="B34" s="58" t="s">
        <v>194</v>
      </c>
      <c r="C34" s="10">
        <v>3397510.6420797696</v>
      </c>
      <c r="D34" s="11" t="s">
        <v>3</v>
      </c>
      <c r="E34" s="1"/>
    </row>
    <row r="35" spans="1:5" ht="15.6" customHeight="1" x14ac:dyDescent="0.25">
      <c r="A35" s="1"/>
      <c r="B35" s="52" t="s">
        <v>67</v>
      </c>
      <c r="C35" s="29">
        <v>246103441.41193733</v>
      </c>
      <c r="D35" s="19" t="s">
        <v>3</v>
      </c>
      <c r="E35" s="1"/>
    </row>
    <row r="36" spans="1:5" ht="30" customHeight="1" x14ac:dyDescent="0.25">
      <c r="A36" s="1"/>
      <c r="B36" s="96" t="s">
        <v>195</v>
      </c>
      <c r="C36" s="96"/>
      <c r="D36" s="96"/>
      <c r="E36" s="1"/>
    </row>
    <row r="37" spans="1:5" ht="27.75" customHeight="1"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row r="51" spans="1:5" hidden="1" x14ac:dyDescent="0.25"/>
    <row r="52" spans="1:5" hidden="1" x14ac:dyDescent="0.25"/>
  </sheetData>
  <sheetProtection algorithmName="SHA-512" hashValue="mitPfQfDSkoJtcoHWJZ3PacIrSazkblh7auepx81syVQJc50L0mTRsuEkkVqdnKgFnvbT+cYHrXWvEVsnsXXhg==" saltValue="Nt9ihX1ErmiSuZdY06rfig==" spinCount="100000" sheet="1" objects="1" scenarios="1"/>
  <mergeCells count="2">
    <mergeCell ref="B3:D4"/>
    <mergeCell ref="B36:D36"/>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5" t="s">
        <v>53</v>
      </c>
      <c r="C3" s="95"/>
      <c r="D3" s="95"/>
      <c r="E3" s="1"/>
    </row>
    <row r="4" spans="1:5" ht="15" customHeight="1" x14ac:dyDescent="0.25">
      <c r="A4" s="1"/>
      <c r="B4" s="95"/>
      <c r="C4" s="95"/>
      <c r="D4" s="95"/>
      <c r="E4" s="1"/>
    </row>
    <row r="5" spans="1:5" ht="15" customHeight="1" x14ac:dyDescent="0.25">
      <c r="A5" s="1"/>
      <c r="B5" s="95"/>
      <c r="C5" s="95"/>
      <c r="D5" s="95"/>
      <c r="E5" s="1"/>
    </row>
    <row r="6" spans="1:5" ht="15" customHeight="1" x14ac:dyDescent="0.25">
      <c r="A6" s="1"/>
      <c r="B6" s="67"/>
      <c r="C6" s="67"/>
      <c r="D6" s="67"/>
      <c r="E6" s="1"/>
    </row>
    <row r="7" spans="1:5" x14ac:dyDescent="0.25">
      <c r="A7" s="1"/>
      <c r="B7" s="1"/>
      <c r="C7" s="32"/>
      <c r="D7" s="1"/>
      <c r="E7" s="1"/>
    </row>
    <row r="8" spans="1:5" x14ac:dyDescent="0.25">
      <c r="A8" s="1"/>
      <c r="B8" s="97" t="s">
        <v>75</v>
      </c>
      <c r="C8" s="98"/>
      <c r="D8" s="99"/>
      <c r="E8" s="1"/>
    </row>
    <row r="9" spans="1:5" x14ac:dyDescent="0.25">
      <c r="A9" s="1"/>
      <c r="B9" s="56" t="s">
        <v>167</v>
      </c>
      <c r="C9" s="22">
        <v>57941929.409735918</v>
      </c>
      <c r="D9" s="14" t="s">
        <v>3</v>
      </c>
      <c r="E9" s="1"/>
    </row>
    <row r="10" spans="1:5" x14ac:dyDescent="0.25">
      <c r="A10" s="1"/>
      <c r="B10" s="56" t="s">
        <v>110</v>
      </c>
      <c r="C10" s="22">
        <f>('Fane 3. Omkostninger i ØR2024'!C10+'Fane 3. Omkostninger i ØR2024'!C12+'Fane 3. Omkostninger i ØR2024'!C14)*(1+'Fane 13. Nøgletal'!C10)</f>
        <v>1218489.0019276799</v>
      </c>
      <c r="D10" s="14" t="s">
        <v>3</v>
      </c>
      <c r="E10" s="1"/>
    </row>
    <row r="11" spans="1:5" x14ac:dyDescent="0.25">
      <c r="A11" s="1"/>
      <c r="B11" s="56" t="s">
        <v>81</v>
      </c>
      <c r="C11" s="22">
        <f>C9*'Fane 13. Nøgletal'!C23+C10*'Fane 13. Nøgletal'!C23</f>
        <v>1183208.3682332719</v>
      </c>
      <c r="D11" s="14" t="s">
        <v>3</v>
      </c>
      <c r="E11" s="1"/>
    </row>
    <row r="12" spans="1:5" x14ac:dyDescent="0.25">
      <c r="A12" s="1"/>
      <c r="B12" s="52"/>
      <c r="C12" s="31"/>
      <c r="D12" s="19"/>
      <c r="E12" s="1"/>
    </row>
    <row r="13" spans="1:5" x14ac:dyDescent="0.25">
      <c r="A13" s="1"/>
      <c r="B13" s="1"/>
      <c r="C13" s="32"/>
      <c r="D13" s="1"/>
      <c r="E13" s="1"/>
    </row>
    <row r="14" spans="1:5" x14ac:dyDescent="0.25">
      <c r="A14" s="1"/>
      <c r="B14" s="97" t="s">
        <v>153</v>
      </c>
      <c r="C14" s="98"/>
      <c r="D14" s="99"/>
      <c r="E14" s="1"/>
    </row>
    <row r="15" spans="1:5" x14ac:dyDescent="0.25">
      <c r="A15" s="1"/>
      <c r="B15" s="56" t="s">
        <v>168</v>
      </c>
      <c r="C15" s="22">
        <f>(C9+C10-C11)*(1+'Fane 13. Nøgletal'!C11)</f>
        <v>61821099.069309764</v>
      </c>
      <c r="D15" s="14" t="s">
        <v>3</v>
      </c>
      <c r="E15" s="1"/>
    </row>
    <row r="16" spans="1:5" x14ac:dyDescent="0.25">
      <c r="A16" s="1"/>
      <c r="B16" s="56" t="s">
        <v>154</v>
      </c>
      <c r="C16" s="22">
        <f>('Fane 2.1. Økonomisk ramme 2025'!C10+'Fane 2.1. Økonomisk ramme 2025'!C12+'Fane 2.1. Økonomisk ramme 2025'!C14)*(1+'Fane 13. Nøgletal'!C11)</f>
        <v>754238.80257331417</v>
      </c>
      <c r="D16" s="14" t="s">
        <v>3</v>
      </c>
      <c r="E16" s="1"/>
    </row>
    <row r="17" spans="1:5" x14ac:dyDescent="0.25">
      <c r="A17" s="1"/>
      <c r="B17" s="56" t="s">
        <v>155</v>
      </c>
      <c r="C17" s="22">
        <f>(C15+C16)*'Fane 13. Nøgletal'!C23</f>
        <v>1251506.7574376615</v>
      </c>
      <c r="D17" s="14" t="s">
        <v>3</v>
      </c>
      <c r="E17" s="1"/>
    </row>
    <row r="18" spans="1:5" x14ac:dyDescent="0.25">
      <c r="A18" s="1"/>
      <c r="B18" s="52"/>
      <c r="C18" s="31"/>
      <c r="D18" s="19"/>
      <c r="E18" s="1"/>
    </row>
    <row r="19" spans="1:5" x14ac:dyDescent="0.25">
      <c r="A19" s="1"/>
      <c r="B19" s="1"/>
      <c r="C19" s="32"/>
      <c r="D19" s="1"/>
      <c r="E19" s="1"/>
    </row>
    <row r="20" spans="1:5" x14ac:dyDescent="0.25">
      <c r="A20" s="1"/>
      <c r="B20" s="97" t="s">
        <v>170</v>
      </c>
      <c r="C20" s="98"/>
      <c r="D20" s="99"/>
      <c r="E20" s="1"/>
    </row>
    <row r="21" spans="1:5" x14ac:dyDescent="0.25">
      <c r="A21" s="1"/>
      <c r="B21" s="56" t="s">
        <v>169</v>
      </c>
      <c r="C21" s="48">
        <f>(C15+C16-C17)*(1+'Fane 13. Nøgletal'!C11)</f>
        <v>65389601.117333151</v>
      </c>
      <c r="D21" s="14" t="s">
        <v>3</v>
      </c>
      <c r="E21" s="1"/>
    </row>
    <row r="22" spans="1:5" x14ac:dyDescent="0.25">
      <c r="A22" s="1"/>
      <c r="B22" s="56" t="s">
        <v>171</v>
      </c>
      <c r="C22" s="48">
        <f>(C21)*'Fane 13. Nøgletal'!C23</f>
        <v>1307792.0223466631</v>
      </c>
      <c r="D22" s="14" t="s">
        <v>3</v>
      </c>
      <c r="E22" s="1"/>
    </row>
    <row r="23" spans="1:5" x14ac:dyDescent="0.25">
      <c r="A23" s="1"/>
      <c r="B23" s="52"/>
      <c r="C23" s="31"/>
      <c r="D23" s="19"/>
      <c r="E23" s="1"/>
    </row>
    <row r="24" spans="1:5" x14ac:dyDescent="0.25">
      <c r="A24" s="1"/>
      <c r="B24" s="1"/>
      <c r="C24" s="32"/>
      <c r="D24" s="1"/>
      <c r="E24" s="1"/>
    </row>
    <row r="25" spans="1:5" x14ac:dyDescent="0.25">
      <c r="A25" s="1"/>
      <c r="B25" s="97" t="s">
        <v>116</v>
      </c>
      <c r="C25" s="98"/>
      <c r="D25" s="99"/>
      <c r="E25" s="1"/>
    </row>
    <row r="26" spans="1:5" x14ac:dyDescent="0.25">
      <c r="A26" s="1"/>
      <c r="B26" s="56" t="s">
        <v>117</v>
      </c>
      <c r="C26" s="48">
        <f>(C21-C22)*(1+'Fane 13. Nøgletal'!C11)</f>
        <v>68330433.037984103</v>
      </c>
      <c r="D26" s="14" t="s">
        <v>3</v>
      </c>
      <c r="E26" s="1"/>
    </row>
    <row r="27" spans="1:5" x14ac:dyDescent="0.25">
      <c r="A27" s="1"/>
      <c r="B27" s="56" t="s">
        <v>118</v>
      </c>
      <c r="C27" s="48">
        <f>(C26)*'Fane 13. Nøgletal'!C23</f>
        <v>1366608.6607596821</v>
      </c>
      <c r="D27" s="14" t="s">
        <v>3</v>
      </c>
      <c r="E27" s="1"/>
    </row>
    <row r="28" spans="1:5" x14ac:dyDescent="0.25">
      <c r="A28" s="1"/>
      <c r="B28" s="52"/>
      <c r="C28" s="42"/>
      <c r="D28" s="19"/>
      <c r="E28" s="1"/>
    </row>
    <row r="29" spans="1:5" x14ac:dyDescent="0.25">
      <c r="A29" s="1"/>
      <c r="B29" s="1"/>
      <c r="C29" s="32"/>
      <c r="D29" s="1"/>
      <c r="E29" s="1"/>
    </row>
    <row r="30" spans="1:5" x14ac:dyDescent="0.25">
      <c r="A30" s="1"/>
      <c r="B30" s="97" t="s">
        <v>136</v>
      </c>
      <c r="C30" s="98"/>
      <c r="D30" s="99"/>
      <c r="E30" s="1"/>
    </row>
    <row r="31" spans="1:5" x14ac:dyDescent="0.25">
      <c r="A31" s="1"/>
      <c r="B31" s="56" t="s">
        <v>137</v>
      </c>
      <c r="C31" s="48">
        <f>(C26-C27)*(1+'Fane 13. Nøgletal'!C11)</f>
        <v>71403525.933434397</v>
      </c>
      <c r="D31" s="14" t="s">
        <v>3</v>
      </c>
      <c r="E31" s="1"/>
    </row>
    <row r="32" spans="1:5" x14ac:dyDescent="0.25">
      <c r="A32" s="1"/>
      <c r="B32" s="56" t="s">
        <v>138</v>
      </c>
      <c r="C32" s="48">
        <f>(C31)*'Fane 13. Nøgletal'!C23</f>
        <v>1428070.5186686879</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hYd3wFOPaj0B6LROah52023Uq5r2QbTUEhY1+iCu0HrtrjA8lrLIoJXK95enf6ML/QpCzVQl4pomEFFDna5D3Q==" saltValue="igYNIy9ydTtd/jNEcCaudw=="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0" t="s">
        <v>54</v>
      </c>
      <c r="C3" s="101"/>
      <c r="D3" s="101"/>
      <c r="E3" s="1"/>
    </row>
    <row r="4" spans="1:5" ht="15" customHeight="1" x14ac:dyDescent="0.25">
      <c r="A4" s="1"/>
      <c r="B4" s="101"/>
      <c r="C4" s="101"/>
      <c r="D4" s="101"/>
      <c r="E4" s="1"/>
    </row>
    <row r="5" spans="1:5" ht="15" customHeight="1" x14ac:dyDescent="0.25">
      <c r="A5" s="1"/>
      <c r="B5" s="101"/>
      <c r="C5" s="101"/>
      <c r="D5" s="101"/>
      <c r="E5" s="1"/>
    </row>
    <row r="6" spans="1:5" ht="15" customHeight="1" x14ac:dyDescent="0.25">
      <c r="A6" s="1"/>
      <c r="B6" s="1"/>
      <c r="C6" s="1"/>
      <c r="D6" s="1"/>
      <c r="E6" s="1"/>
    </row>
    <row r="7" spans="1:5" ht="15" customHeight="1" x14ac:dyDescent="0.25">
      <c r="A7" s="1"/>
      <c r="B7" s="1"/>
      <c r="C7" s="1"/>
      <c r="D7" s="1"/>
      <c r="E7" s="1"/>
    </row>
    <row r="8" spans="1:5" x14ac:dyDescent="0.25">
      <c r="A8" s="1"/>
      <c r="B8" s="97" t="s">
        <v>76</v>
      </c>
      <c r="C8" s="98"/>
      <c r="D8" s="99"/>
      <c r="E8" s="1"/>
    </row>
    <row r="9" spans="1:5" x14ac:dyDescent="0.25">
      <c r="A9" s="1"/>
      <c r="B9" s="56" t="s">
        <v>162</v>
      </c>
      <c r="C9" s="48">
        <v>119619212.47212572</v>
      </c>
      <c r="D9" s="14" t="s">
        <v>3</v>
      </c>
      <c r="E9" s="1"/>
    </row>
    <row r="10" spans="1:5" x14ac:dyDescent="0.25">
      <c r="A10" s="1"/>
      <c r="B10" s="56" t="s">
        <v>113</v>
      </c>
      <c r="C10" s="48">
        <f>('Fane 3. Omkostninger i ØR2024'!C11+'Fane 3. Omkostninger i ØR2024'!C13+'Fane 3. Omkostninger i ØR2024'!C15)*(1+'Fane 13. Nøgletal'!C10)</f>
        <v>5116931.4373452794</v>
      </c>
      <c r="D10" s="14" t="s">
        <v>3</v>
      </c>
      <c r="E10" s="1"/>
    </row>
    <row r="11" spans="1:5" x14ac:dyDescent="0.25">
      <c r="A11" s="1"/>
      <c r="B11" s="56" t="s">
        <v>114</v>
      </c>
      <c r="C11" s="48">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7" t="s">
        <v>156</v>
      </c>
      <c r="C14" s="98"/>
      <c r="D14" s="99"/>
      <c r="E14" s="1"/>
    </row>
    <row r="15" spans="1:5" x14ac:dyDescent="0.25">
      <c r="A15" s="1"/>
      <c r="B15" s="56" t="s">
        <v>163</v>
      </c>
      <c r="C15" s="48">
        <f>(C9+C10-C11)*(1+'Fane 13. Nøgletal'!C11)</f>
        <v>133006150.25066894</v>
      </c>
      <c r="D15" s="14" t="s">
        <v>3</v>
      </c>
      <c r="E15" s="1"/>
    </row>
    <row r="16" spans="1:5" x14ac:dyDescent="0.25">
      <c r="A16" s="1"/>
      <c r="B16" s="56" t="s">
        <v>157</v>
      </c>
      <c r="C16" s="48">
        <f>('Fane 2.1. Økonomisk ramme 2025'!C11+'Fane 2.1. Økonomisk ramme 2025'!C13+'Fane 2.1. Økonomisk ramme 2025'!C15)*(1+'Fane 13. Nøgletal'!C11)</f>
        <v>1079087.3625126102</v>
      </c>
      <c r="D16" s="14" t="s">
        <v>3</v>
      </c>
      <c r="E16" s="1"/>
    </row>
    <row r="17" spans="1:5" x14ac:dyDescent="0.25">
      <c r="A17" s="1"/>
      <c r="B17" s="56" t="s">
        <v>158</v>
      </c>
      <c r="C17" s="48">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7" t="s">
        <v>166</v>
      </c>
      <c r="C20" s="98"/>
      <c r="D20" s="99"/>
      <c r="E20" s="1"/>
    </row>
    <row r="21" spans="1:5" x14ac:dyDescent="0.25">
      <c r="A21" s="1"/>
      <c r="B21" s="56" t="s">
        <v>164</v>
      </c>
      <c r="C21" s="48">
        <f>(C15+C16-C17)*(1+'Fane 13. Nøgletal'!C11)</f>
        <v>142975088.86693549</v>
      </c>
      <c r="D21" s="14" t="s">
        <v>3</v>
      </c>
      <c r="E21" s="1"/>
    </row>
    <row r="22" spans="1:5" x14ac:dyDescent="0.25">
      <c r="A22" s="1"/>
      <c r="B22" s="56" t="s">
        <v>165</v>
      </c>
      <c r="C22" s="48">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7" t="s">
        <v>119</v>
      </c>
      <c r="C25" s="98"/>
      <c r="D25" s="99"/>
      <c r="E25" s="1"/>
    </row>
    <row r="26" spans="1:5" x14ac:dyDescent="0.25">
      <c r="A26" s="1"/>
      <c r="B26" s="56" t="s">
        <v>120</v>
      </c>
      <c r="C26" s="48">
        <f>(C21-C22)*(1+'Fane 13. Nøgletal'!C11)</f>
        <v>152454337.25881332</v>
      </c>
      <c r="D26" s="14" t="s">
        <v>3</v>
      </c>
      <c r="E26" s="1"/>
    </row>
    <row r="27" spans="1:5" x14ac:dyDescent="0.25">
      <c r="A27" s="1"/>
      <c r="B27" s="56" t="s">
        <v>121</v>
      </c>
      <c r="C27" s="48">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7" t="s">
        <v>139</v>
      </c>
      <c r="C30" s="98"/>
      <c r="D30" s="99"/>
      <c r="E30" s="1"/>
    </row>
    <row r="31" spans="1:5" x14ac:dyDescent="0.25">
      <c r="A31" s="1"/>
      <c r="B31" s="56" t="s">
        <v>140</v>
      </c>
      <c r="C31" s="48">
        <f>(C26-C27)*(1+'Fane 13. Nøgletal'!C11)</f>
        <v>162562059.81907263</v>
      </c>
      <c r="D31" s="14" t="s">
        <v>3</v>
      </c>
      <c r="E31" s="1"/>
    </row>
    <row r="32" spans="1:5" x14ac:dyDescent="0.25">
      <c r="A32" s="1"/>
      <c r="B32" s="56" t="s">
        <v>141</v>
      </c>
      <c r="C32" s="48">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Ta/NjlI+cB+/gyTu9HNhiIhaZy2xMhvlnisPG8bs+Zl4rzFWJN2U25h3xuaUPBK5AVtXxHZAC5W2c5X54CjiZg==" saltValue="kFcfugKSpC5vgQx11kRhdQ=="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3" t="s">
        <v>41</v>
      </c>
      <c r="C3" s="93"/>
      <c r="D3" s="1"/>
    </row>
    <row r="4" spans="1:4" ht="15" customHeight="1" x14ac:dyDescent="0.25">
      <c r="A4" s="1"/>
      <c r="B4" s="93"/>
      <c r="C4" s="93"/>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7" t="s">
        <v>9</v>
      </c>
      <c r="C8" s="99"/>
      <c r="D8" s="1"/>
    </row>
    <row r="9" spans="1:4" x14ac:dyDescent="0.25">
      <c r="A9" s="1"/>
      <c r="B9" s="56" t="s">
        <v>160</v>
      </c>
      <c r="C9" s="44">
        <v>0.02</v>
      </c>
      <c r="D9" s="1"/>
    </row>
    <row r="10" spans="1:4" x14ac:dyDescent="0.25">
      <c r="A10" s="1"/>
      <c r="B10" s="52"/>
      <c r="C10" s="19"/>
      <c r="D10" s="1"/>
    </row>
    <row r="11" spans="1:4" ht="15" customHeight="1" x14ac:dyDescent="0.25">
      <c r="A11" s="1"/>
      <c r="B11" s="102" t="s">
        <v>161</v>
      </c>
      <c r="C11" s="103"/>
      <c r="D11" s="1"/>
    </row>
    <row r="12" spans="1:4" ht="13.5" customHeight="1" x14ac:dyDescent="0.25">
      <c r="A12" s="1"/>
      <c r="B12" s="104"/>
      <c r="C12" s="10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M8ZGFJtKx24fvLPRr7FaA57CMTJPOE9oxXwdzLeIb40RHD55MnqBE9CUWq6OwNN/w45uyyK+Wc7LM0qbnRonEQ==" saltValue="4QwblRX1bn096TZofTTe/g=="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2024-09-26T08:01:04Z</dcterms:modified>
</cp:coreProperties>
</file>