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ønder Vand AS (V19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<sst xmlns="http://schemas.openxmlformats.org/spreadsheetml/2006/main" count="591" uniqueCount="247">
  <si>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</si>
  <si>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</si>
  <si>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</si>
  <si>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</si>
  <si>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</si>
  <si>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</si>
  <si>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</si>
  <si>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</si>
  <si>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</si>
  <si>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</si>
  <si>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</si>
  <si>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</si>
  <si>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</si>
  <si>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</si>
  <si>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</si>
  <si>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</si>
  <si>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</si>
  <si>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</si>
  <si>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</si>
  <si>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</si>
  <si>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</si>
  <si>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</si>
  <si>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</si>
  <si>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</si>
  <si>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</si>
  <si>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</si>
  <si>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</si>
  <si>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</si>
  <si>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</si>
  <si>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</si>
  <si>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</si>
  <si>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</si>
  <si>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</si>
  <si>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</si>
  <si>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</si>
  <si>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</si>
  <si>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</si>
  <si>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</si>
  <si>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</si>
  <si>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</si>
  <si>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</si>
  <si>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</si>
  <si>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</si>
  <si>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</si>
  <si>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</si>
  <si>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</si>
  <si>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</si>
  <si>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</si>
  <si>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</si>
  <si>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</si>
  <si>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</si>
  <si>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</si>
  <si>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</si>
  <si>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</si>
  <si>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</si>
  <si>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</si>
  <si>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</si>
  <si>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</si>
  <si>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</si>
  <si>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</si>
  <si>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</si>
  <si>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</si>
  <si>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</si>
  <si>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</si>
  <si>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</si>
  <si>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</si>
  <si>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</si>
  <si>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</si>
  <si>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</si>
  <si>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</si>
  <si>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</si>
  <si>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</si>
  <si>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</si>
  <si>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</si>
  <si>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</si>
  <si>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</si>
  <si>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</si>
  <si>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</si>
  <si>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</si>
  <si>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</si>
  <si>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</si>
  <si>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</si>
  <si>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</si>
  <si>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</si>
  <si>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</si>
  <si>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</si>
  <si>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</si>
  <si>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</si>
  <si>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</si>
  <si>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</si>
  <si>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</si>
  <si>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</si>
  <si>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</si>
  <si>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</si>
  <si>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</si>
  <si>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</si>
  <si>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</si>
  <si>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</si>
  <si>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</si>
  <si>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</si>
  <si>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</si>
  <si>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</si>
  <si>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</si>
  <si>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</si>
  <si>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</si>
  <si>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</si>
  <si>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</si>
  <si>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</si>
  <si>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</si>
  <si>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</si>
  <si>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</si>
  <si>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</si>
  <si>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</si>
  <si>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</si>
  <si>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</si>
  <si>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</si>
  <si>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</si>
  <si>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</si>
  <si>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</si>
  <si>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</si>
  <si>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</si>
  <si>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</si>
  <si>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</si>
  <si>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</si>
  <si>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</si>
  <si>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</si>
  <si>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</si>
  <si>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</si>
  <si>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</si>
  <si>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</si>
  <si>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</si>
  <si>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</si>
  <si>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</si>
  <si>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</si>
  <si>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</si>
  <si>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</si>
  <si>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</si>
  <si>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</si>
  <si>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</si>
  <si>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</si>
  <si>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</si>
  <si>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</si>
  <si>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</si>
  <si>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</si>
  <si>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</si>
  <si>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</si>
  <si>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</si>
  <si>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</si>
  <si>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</si>
  <si>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</si>
  <si>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</si>
  <si>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</si>
  <si>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</si>
  <si>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</si>
  <si>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</si>
  <si>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</si>
  <si>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</si>
  <si>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</si>
  <si>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</si>
  <si>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</si>
  <si>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</si>
  <si>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</si>
  <si>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</si>
  <si>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</si>
  <si>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</si>
  <si>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</si>
  <si>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</si>
  <si>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</si>
  <si>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</si>
  <si>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</si>
  <si>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</si>
  <si>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</si>
  <si>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</si>
  <si>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</si>
  <si>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</si>
  <si>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</si>
  <si>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</si>
  <si>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</si>
  <si>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</si>
  <si>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</si>
  <si>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</si>
  <si>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</si>
  <si>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</si>
  <si>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</si>
  <si>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</si>
  <si>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</si>
  <si>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</si>
  <si>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</si>
  <si>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</si>
  <si>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</si>
  <si>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</si>
  <si>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</si>
  <si>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</si>
  <si>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</si>
  <si>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</si>
  <si>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</si>
  <si>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</si>
  <si>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</si>
  <si>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</si>
  <si>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</si>
  <si>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</si>
  <si>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</si>
  <si>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</si>
  <si>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</si>
  <si>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</si>
  <si>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</si>
  <si>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</si>
  <si>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</si>
  <si>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</si>
  <si>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</si>
  <si>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</si>
  <si>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</si>
  <si>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</si>
  <si>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</si>
  <si>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</si>
  <si>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</si>
  <si>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</si>
  <si>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</si>
  <si>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</si>
  <si>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</si>
  <si>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</si>
  <si>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</si>
  <si>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</si>
  <si>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</si>
  <si>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</si>
  <si>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</si>
  <si>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</si>
  <si>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</si>
  <si>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</si>
  <si>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</si>
  <si>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</si>
  <si>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</si>
  <si>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</si>
  <si>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</si>
  <si>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</si>
  <si>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</si>
  <si>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</si>
  <si>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</si>
  <si>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Erstatninger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</si>
  <si>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</si>
  <si>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</si>
  <si>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</si>
  <si>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</si>
  <si>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Økonomisk ramme for 2024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</si>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</sst>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2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2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2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140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168</v>
      </c>
      <c r="C8" s="96"/>
      <c r="D8" s="97"/>
      <c r="E8" s="1"/>
      <c r="F8" s="1"/>
    </row>
    <row r="9" spans="1:6" ht="15" customHeight="1" x14ac:dyDescent="0.25">
      <c r="A9" s="1"/>
      <c r="B9" s="43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1" t="s">
        <v>234</v>
      </c>
      <c r="C10" s="9">
        <v>10868323</v>
      </c>
      <c r="D10" s="14" t="s">
        <v>3</v>
      </c>
      <c r="E10" s="1"/>
      <c r="F10" s="1"/>
    </row>
    <row r="11" spans="1:6" ht="15" customHeight="1" x14ac:dyDescent="0.25">
      <c r="A11" s="1"/>
      <c r="B11" s="51" t="s">
        <v>235</v>
      </c>
      <c r="C11" s="9">
        <v>69629</v>
      </c>
      <c r="D11" s="14" t="s">
        <v>3</v>
      </c>
      <c r="E11" s="1"/>
      <c r="F11" s="1"/>
    </row>
    <row r="12" spans="1:6" x14ac:dyDescent="0.25">
      <c r="A12" s="1"/>
      <c r="B12" s="51" t="s">
        <v>236</v>
      </c>
      <c r="C12" s="9">
        <v>591632</v>
      </c>
      <c r="D12" s="14" t="s">
        <v>3</v>
      </c>
      <c r="E12" s="1"/>
      <c r="F12" s="1"/>
    </row>
    <row r="13" spans="1:6" x14ac:dyDescent="0.25">
      <c r="A13" s="1"/>
      <c r="B13" s="51" t="s">
        <v>237</v>
      </c>
      <c r="C13" s="9">
        <v>13882</v>
      </c>
      <c r="D13" s="14" t="s">
        <v>3</v>
      </c>
      <c r="E13" s="1"/>
      <c r="F13" s="1"/>
    </row>
    <row r="14" spans="1:6" x14ac:dyDescent="0.25">
      <c r="A14" s="1"/>
      <c r="B14" s="51" t="s">
        <v>238</v>
      </c>
      <c r="C14" s="9">
        <v>2470</v>
      </c>
      <c r="D14" s="14" t="s">
        <v>3</v>
      </c>
      <c r="E14" s="1"/>
      <c r="F14" s="1"/>
    </row>
    <row r="15" spans="1:6" x14ac:dyDescent="0.25">
      <c r="A15" s="1"/>
      <c r="B15" s="48" t="s">
        <v>169</v>
      </c>
      <c r="C15" s="12">
        <f>SUM(C10:C14)</f>
        <v>11545936</v>
      </c>
      <c r="D15" s="13" t="s">
        <v>3</v>
      </c>
      <c r="E15" s="1"/>
      <c r="F15" s="1"/>
    </row>
    <row r="16" spans="1:6" x14ac:dyDescent="0.25">
      <c r="A16" s="1"/>
      <c r="B16" s="48" t="s">
        <v>170</v>
      </c>
      <c r="C16" s="12">
        <f>C15*(1+'Fane 12. Nøgletal'!C13)^2</f>
        <v>11829375.33551424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82" t="s">
        <v>172</v>
      </c>
      <c r="C2" s="82"/>
      <c r="D2" s="82"/>
      <c r="E2" s="82"/>
      <c r="F2" s="82"/>
      <c r="G2" s="1"/>
    </row>
    <row r="3" spans="1:7" ht="15" customHeight="1" x14ac:dyDescent="0.25">
      <c r="A3" s="1"/>
      <c r="B3" s="82"/>
      <c r="C3" s="82"/>
      <c r="D3" s="82"/>
      <c r="E3" s="82"/>
      <c r="F3" s="82"/>
      <c r="G3" s="1"/>
    </row>
    <row r="4" spans="1:7" ht="15" customHeight="1" x14ac:dyDescent="0.2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25">
      <c r="A5" s="1"/>
      <c r="B5" s="98" t="s">
        <v>37</v>
      </c>
      <c r="C5" s="99"/>
      <c r="D5" s="100"/>
      <c r="E5" s="9">
        <v>1776924.1233333335</v>
      </c>
      <c r="F5" s="14" t="s">
        <v>3</v>
      </c>
      <c r="G5" s="1"/>
    </row>
    <row r="6" spans="1:7" ht="15" customHeight="1" x14ac:dyDescent="0.25">
      <c r="A6" s="1"/>
      <c r="B6" s="98" t="s">
        <v>38</v>
      </c>
      <c r="C6" s="99"/>
      <c r="D6" s="100"/>
      <c r="E6" s="9">
        <v>-1028149.4565118626</v>
      </c>
      <c r="F6" s="14" t="s">
        <v>3</v>
      </c>
      <c r="G6" s="1"/>
    </row>
    <row r="7" spans="1:7" ht="15" customHeight="1" x14ac:dyDescent="0.25">
      <c r="A7" s="1"/>
      <c r="B7" s="106" t="s">
        <v>131</v>
      </c>
      <c r="C7" s="107"/>
      <c r="D7" s="108"/>
      <c r="E7" s="10">
        <f>SUM(E5:E6)</f>
        <v>748774.66682147095</v>
      </c>
      <c r="F7" s="17" t="s">
        <v>3</v>
      </c>
      <c r="G7" s="1"/>
    </row>
    <row r="8" spans="1:7" ht="15" customHeight="1" x14ac:dyDescent="0.25">
      <c r="A8" s="1"/>
      <c r="B8" s="48"/>
      <c r="C8" s="49"/>
      <c r="D8" s="49"/>
      <c r="E8" s="49"/>
      <c r="F8" s="20"/>
      <c r="G8" s="1"/>
    </row>
    <row r="9" spans="1:7" ht="28.5" customHeight="1" x14ac:dyDescent="0.25">
      <c r="A9" s="1"/>
      <c r="B9" s="86" t="s">
        <v>132</v>
      </c>
      <c r="C9" s="87"/>
      <c r="D9" s="87"/>
      <c r="E9" s="87"/>
      <c r="F9" s="88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95" t="s">
        <v>116</v>
      </c>
      <c r="C11" s="96"/>
      <c r="D11" s="96"/>
      <c r="E11" s="96"/>
      <c r="F11" s="97"/>
      <c r="G11" s="1"/>
    </row>
    <row r="12" spans="1:7" x14ac:dyDescent="0.25">
      <c r="A12" s="1"/>
      <c r="B12" s="98" t="s">
        <v>117</v>
      </c>
      <c r="C12" s="99"/>
      <c r="D12" s="100"/>
      <c r="E12" s="9">
        <v>34724118.996176645</v>
      </c>
      <c r="F12" s="14" t="s">
        <v>3</v>
      </c>
      <c r="G12" s="1"/>
    </row>
    <row r="13" spans="1:7" x14ac:dyDescent="0.25">
      <c r="A13" s="1"/>
      <c r="B13" s="98" t="s">
        <v>118</v>
      </c>
      <c r="C13" s="99"/>
      <c r="D13" s="100"/>
      <c r="E13" s="9">
        <v>27899440.5</v>
      </c>
      <c r="F13" s="14" t="s">
        <v>3</v>
      </c>
      <c r="G13" s="1"/>
    </row>
    <row r="14" spans="1:7" x14ac:dyDescent="0.2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25">
      <c r="A15" s="1"/>
      <c r="B15" s="106" t="s">
        <v>208</v>
      </c>
      <c r="C15" s="107"/>
      <c r="D15" s="108"/>
      <c r="E15" s="10">
        <f>E12-(E13-E14)</f>
        <v>6824678.4961766452</v>
      </c>
      <c r="F15" s="17" t="s">
        <v>3</v>
      </c>
      <c r="G15" s="1"/>
    </row>
    <row r="16" spans="1:7" x14ac:dyDescent="0.25">
      <c r="A16" s="1"/>
      <c r="B16" s="48"/>
      <c r="C16" s="49"/>
      <c r="D16" s="49"/>
      <c r="E16" s="49"/>
      <c r="F16" s="20"/>
      <c r="G16" s="1"/>
    </row>
    <row r="17" spans="1:7" ht="30" customHeight="1" x14ac:dyDescent="0.25">
      <c r="A17" s="1"/>
      <c r="B17" s="86" t="s">
        <v>133</v>
      </c>
      <c r="C17" s="87"/>
      <c r="D17" s="87"/>
      <c r="E17" s="87"/>
      <c r="F17" s="88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95" t="s">
        <v>50</v>
      </c>
      <c r="C19" s="96"/>
      <c r="D19" s="96"/>
      <c r="E19" s="96"/>
      <c r="F19" s="97"/>
      <c r="G19" s="1"/>
    </row>
    <row r="20" spans="1:7" x14ac:dyDescent="0.25">
      <c r="A20" s="1"/>
      <c r="B20" s="98" t="s">
        <v>51</v>
      </c>
      <c r="C20" s="99"/>
      <c r="D20" s="100"/>
      <c r="E20" s="9">
        <v>30983988.994241763</v>
      </c>
      <c r="F20" s="14" t="s">
        <v>3</v>
      </c>
      <c r="G20" s="1"/>
    </row>
    <row r="21" spans="1:7" x14ac:dyDescent="0.25">
      <c r="A21" s="1"/>
      <c r="B21" s="98" t="s">
        <v>52</v>
      </c>
      <c r="C21" s="99"/>
      <c r="D21" s="100"/>
      <c r="E21" s="9">
        <v>28201162.419999998</v>
      </c>
      <c r="F21" s="14" t="s">
        <v>3</v>
      </c>
      <c r="G21" s="1"/>
    </row>
    <row r="22" spans="1:7" x14ac:dyDescent="0.2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25">
      <c r="A23" s="1"/>
      <c r="B23" s="106" t="s">
        <v>209</v>
      </c>
      <c r="C23" s="107"/>
      <c r="D23" s="108"/>
      <c r="E23" s="10">
        <f>E20-(E21-E22)</f>
        <v>2782826.5742417648</v>
      </c>
      <c r="F23" s="17" t="s">
        <v>3</v>
      </c>
      <c r="G23" s="1"/>
    </row>
    <row r="24" spans="1:7" x14ac:dyDescent="0.25">
      <c r="A24" s="1"/>
      <c r="B24" s="48"/>
      <c r="C24" s="49"/>
      <c r="D24" s="49"/>
      <c r="E24" s="49"/>
      <c r="F24" s="20"/>
      <c r="G24" s="1"/>
    </row>
    <row r="25" spans="1:7" ht="28.5" customHeight="1" x14ac:dyDescent="0.25">
      <c r="A25" s="1"/>
      <c r="B25" s="86" t="s">
        <v>179</v>
      </c>
      <c r="C25" s="87"/>
      <c r="D25" s="87"/>
      <c r="E25" s="87"/>
      <c r="F25" s="88"/>
      <c r="G25" s="1"/>
    </row>
    <row r="26" spans="1:7" ht="28.5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95" t="s">
        <v>200</v>
      </c>
      <c r="C27" s="96"/>
      <c r="D27" s="96"/>
      <c r="E27" s="96"/>
      <c r="F27" s="97"/>
      <c r="G27" s="1"/>
    </row>
    <row r="28" spans="1:7" x14ac:dyDescent="0.25">
      <c r="A28" s="1"/>
      <c r="B28" s="98" t="s">
        <v>201</v>
      </c>
      <c r="C28" s="99"/>
      <c r="D28" s="100"/>
      <c r="E28" s="9">
        <v>32155011.525594719</v>
      </c>
      <c r="F28" s="14" t="s">
        <v>3</v>
      </c>
      <c r="G28" s="1"/>
    </row>
    <row r="29" spans="1:7" x14ac:dyDescent="0.25">
      <c r="A29" s="1"/>
      <c r="B29" s="98" t="s">
        <v>202</v>
      </c>
      <c r="C29" s="99"/>
      <c r="D29" s="100"/>
      <c r="E29" s="9">
        <v>28986022</v>
      </c>
      <c r="F29" s="14" t="s">
        <v>3</v>
      </c>
      <c r="G29" s="1"/>
    </row>
    <row r="30" spans="1:7" x14ac:dyDescent="0.2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25">
      <c r="A31" s="1"/>
      <c r="B31" s="106" t="s">
        <v>210</v>
      </c>
      <c r="C31" s="107"/>
      <c r="D31" s="108"/>
      <c r="E31" s="10">
        <f>E28-(E29-E30)</f>
        <v>3168989.5255947188</v>
      </c>
      <c r="F31" s="17" t="s">
        <v>3</v>
      </c>
      <c r="G31" s="1"/>
    </row>
    <row r="32" spans="1:7" x14ac:dyDescent="0.25">
      <c r="A32" s="1"/>
      <c r="B32" s="48"/>
      <c r="C32" s="49"/>
      <c r="D32" s="49"/>
      <c r="E32" s="49"/>
      <c r="F32" s="20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5" t="s">
        <v>125</v>
      </c>
      <c r="C34" s="96"/>
      <c r="D34" s="96"/>
      <c r="E34" s="96"/>
      <c r="F34" s="97"/>
      <c r="G34" s="1"/>
    </row>
    <row r="35" spans="1:7" x14ac:dyDescent="0.25">
      <c r="A35" s="1"/>
      <c r="B35" s="109" t="s">
        <v>245</v>
      </c>
      <c r="C35" s="110"/>
      <c r="D35" s="111"/>
      <c r="E35" s="9">
        <v>1</v>
      </c>
      <c r="F35" s="14"/>
      <c r="G35" s="1"/>
    </row>
    <row r="36" spans="1:7" x14ac:dyDescent="0.25">
      <c r="A36" s="1"/>
      <c r="B36" s="109" t="s">
        <v>246</v>
      </c>
      <c r="C36" s="110"/>
      <c r="D36" s="111"/>
      <c r="E36" s="9">
        <v>1</v>
      </c>
      <c r="F36" s="14"/>
      <c r="G36" s="1"/>
    </row>
    <row r="37" spans="1:7" x14ac:dyDescent="0.2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0</v>
      </c>
      <c r="F37" s="14" t="s">
        <v>3</v>
      </c>
      <c r="G37" s="1"/>
    </row>
    <row r="38" spans="1:7" x14ac:dyDescent="0.2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25">
      <c r="A39" s="1"/>
      <c r="B39" s="112" t="s">
        <v>203</v>
      </c>
      <c r="C39" s="112"/>
      <c r="D39" s="112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4" spans="1:7" x14ac:dyDescent="0.25">
      <c r="A44" s="37"/>
      <c r="B44" s="37"/>
      <c r="C44" s="37"/>
      <c r="D44" s="37"/>
      <c r="E44" s="37"/>
      <c r="F44" s="37"/>
      <c r="G44" s="37"/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</sheetData>
  <sheetProtection algorithmName="SHA-512" hashValue="lIaLeinT1KQE7vdOAjqTPHH3q8uJ8b2yWZRYNgpbIdJwezleT7kHTOn6gkCvy/R17JWxBOh0ikVAi6oHGK/Mgw==" saltValue="u9zsyFU+YaTEAF1qgMK+iQ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x14ac:dyDescent="0.25">
      <c r="A10" s="1"/>
      <c r="B10" s="39" t="s">
        <v>244</v>
      </c>
      <c r="C10" s="40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5" t="s">
        <v>198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41" t="s">
        <v>241</v>
      </c>
      <c r="C11" s="22">
        <v>7951</v>
      </c>
      <c r="D11" s="14" t="s">
        <v>3</v>
      </c>
      <c r="E11" s="9">
        <v>3524</v>
      </c>
      <c r="F11" s="14" t="s">
        <v>3</v>
      </c>
      <c r="G11" s="1"/>
    </row>
    <row r="12" spans="1:7" x14ac:dyDescent="0.25">
      <c r="A12" s="1"/>
      <c r="B12" s="48" t="s">
        <v>48</v>
      </c>
      <c r="C12" s="12">
        <f>SUM(C10:C11)</f>
        <v>7951</v>
      </c>
      <c r="D12" s="13" t="s">
        <v>3</v>
      </c>
      <c r="E12" s="12">
        <f>SUM(E10:E11)</f>
        <v>3524</v>
      </c>
      <c r="F12" s="13" t="s">
        <v>3</v>
      </c>
      <c r="G12" s="1"/>
    </row>
    <row r="13" spans="1:7" x14ac:dyDescent="0.25">
      <c r="A13" s="1"/>
      <c r="B13" s="48" t="s">
        <v>173</v>
      </c>
      <c r="C13" s="12">
        <f>C12*(1+'Fane 12. Nøgletal'!C13)</f>
        <v>8048.0021999999999</v>
      </c>
      <c r="D13" s="13" t="s">
        <v>3</v>
      </c>
      <c r="E13" s="12">
        <f>E12*(1+'Fane 12. Nøgletal'!C13)</f>
        <v>3566.9928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/WmvIqgXsyoS4Ne3dMRJ15UhFMGvPy6kZRptduIc11HUHq/sLZHfAkkUo0HxcErpsRk/3bzRCFRa67kuu0+Ow==" saltValue="j6+DSM2RWHvHZXx64HjbK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119</v>
      </c>
      <c r="C8" s="96"/>
      <c r="D8" s="96"/>
      <c r="E8" s="96"/>
      <c r="F8" s="97"/>
      <c r="G8" s="1"/>
    </row>
    <row r="9" spans="1:7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120</v>
      </c>
      <c r="C16" s="96"/>
      <c r="D16" s="96"/>
      <c r="E16" s="96"/>
      <c r="F16" s="97"/>
      <c r="G16" s="1"/>
    </row>
    <row r="17" spans="1:7" x14ac:dyDescent="0.2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2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121</v>
      </c>
      <c r="C24" s="96"/>
      <c r="D24" s="96"/>
      <c r="E24" s="96"/>
      <c r="F24" s="97"/>
      <c r="G24" s="1"/>
    </row>
    <row r="25" spans="1:7" x14ac:dyDescent="0.2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2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176</v>
      </c>
      <c r="C32" s="96"/>
      <c r="D32" s="96"/>
      <c r="E32" s="96"/>
      <c r="F32" s="97"/>
      <c r="G32" s="1"/>
    </row>
    <row r="33" spans="1:7" x14ac:dyDescent="0.2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2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pprGlclB45UqaUVC7Jk9W+zz5MHi8xgMMKRUS5UyXSWF163F3Ft5Zuja+1Uo1ONn5RHx/3xAdfGZQuOok/Lrg==" saltValue="FWCVMXuXUtkK7Qf4Zd1Gg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4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2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110</v>
      </c>
      <c r="C15" s="96"/>
      <c r="D15" s="96"/>
      <c r="E15" s="96"/>
      <c r="F15" s="97"/>
      <c r="G15" s="1"/>
    </row>
    <row r="16" spans="1:7" ht="26.25" x14ac:dyDescent="0.2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112</v>
      </c>
      <c r="C22" s="96"/>
      <c r="D22" s="96"/>
      <c r="E22" s="96"/>
      <c r="F22" s="97"/>
      <c r="G22" s="1"/>
    </row>
    <row r="23" spans="1:7" ht="26.25" x14ac:dyDescent="0.2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182</v>
      </c>
      <c r="C29" s="96"/>
      <c r="D29" s="96"/>
      <c r="E29" s="96"/>
      <c r="F29" s="97"/>
      <c r="G29" s="1"/>
    </row>
    <row r="30" spans="1:7" ht="26.25" x14ac:dyDescent="0.2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211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14</v>
      </c>
      <c r="C8" s="20"/>
      <c r="D8" s="1"/>
    </row>
    <row r="9" spans="1:4" x14ac:dyDescent="0.25">
      <c r="A9" s="1"/>
      <c r="B9" s="51" t="s">
        <v>141</v>
      </c>
      <c r="C9" s="26">
        <v>1.2699999999999999E-2</v>
      </c>
      <c r="D9" s="1"/>
    </row>
    <row r="10" spans="1:4" x14ac:dyDescent="0.25">
      <c r="A10" s="1"/>
      <c r="B10" s="51" t="s">
        <v>22</v>
      </c>
      <c r="C10" s="26">
        <v>1.7500000000000002E-2</v>
      </c>
      <c r="D10" s="1"/>
    </row>
    <row r="11" spans="1:4" x14ac:dyDescent="0.25">
      <c r="A11" s="1"/>
      <c r="B11" s="51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5"/>
      <c r="C14" s="97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8" t="s">
        <v>126</v>
      </c>
      <c r="C17" s="20"/>
      <c r="D17" s="1"/>
    </row>
    <row r="18" spans="1:4" x14ac:dyDescent="0.25">
      <c r="A18" s="1"/>
      <c r="B18" s="51" t="s">
        <v>143</v>
      </c>
      <c r="C18" s="23">
        <v>9.1000000000000004E-3</v>
      </c>
      <c r="D18" s="1"/>
    </row>
    <row r="19" spans="1:4" x14ac:dyDescent="0.25">
      <c r="A19" s="1"/>
      <c r="B19" s="51" t="s">
        <v>144</v>
      </c>
      <c r="C19" s="23">
        <v>1.77E-2</v>
      </c>
      <c r="D19" s="1"/>
    </row>
    <row r="20" spans="1:4" x14ac:dyDescent="0.25">
      <c r="A20" s="1"/>
      <c r="B20" s="51" t="s">
        <v>145</v>
      </c>
      <c r="C20" s="23">
        <v>8.6999999999999994E-3</v>
      </c>
      <c r="D20" s="1"/>
    </row>
    <row r="21" spans="1:4" x14ac:dyDescent="0.25">
      <c r="A21" s="1"/>
      <c r="B21" s="51" t="s">
        <v>146</v>
      </c>
      <c r="C21" s="36">
        <v>2.8400000000000002E-2</v>
      </c>
      <c r="D21" s="1"/>
    </row>
    <row r="22" spans="1:4" x14ac:dyDescent="0.25">
      <c r="A22" s="1"/>
      <c r="B22" s="51" t="s">
        <v>186</v>
      </c>
      <c r="C22" s="36">
        <v>2.75E-2</v>
      </c>
      <c r="D22" s="1"/>
    </row>
    <row r="23" spans="1:4" x14ac:dyDescent="0.25">
      <c r="A23" s="1"/>
      <c r="B23" s="4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8" t="s">
        <v>127</v>
      </c>
      <c r="C26" s="20"/>
      <c r="D26" s="1"/>
    </row>
    <row r="27" spans="1:4" x14ac:dyDescent="0.25">
      <c r="A27" s="1"/>
      <c r="B27" s="51" t="s">
        <v>147</v>
      </c>
      <c r="C27" s="26">
        <v>0.02</v>
      </c>
      <c r="D27" s="1"/>
    </row>
    <row r="28" spans="1:4" x14ac:dyDescent="0.25">
      <c r="A28" s="1"/>
      <c r="B28" s="4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161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x14ac:dyDescent="0.25">
      <c r="A9" s="1"/>
      <c r="B9" s="50" t="s">
        <v>25</v>
      </c>
      <c r="C9" s="7">
        <f>'Fane 3. Omkostninger i ØR2020'!E20</f>
        <v>19650176.521872185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8048.0021999999999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3566.9928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239873.8565058407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-123238.30508669653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-152112.60112260518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-370103.05584998213</v>
      </c>
      <c r="D19" s="8" t="s">
        <v>3</v>
      </c>
      <c r="E19" s="1"/>
    </row>
    <row r="20" spans="1:5" ht="17.100000000000001" customHeight="1" x14ac:dyDescent="0.25">
      <c r="A20" s="1"/>
      <c r="B20" s="52" t="s">
        <v>20</v>
      </c>
      <c r="C20" s="10">
        <f>SUM(C9:C19)</f>
        <v>19256211.411318742</v>
      </c>
      <c r="D20" s="11" t="s">
        <v>3</v>
      </c>
      <c r="E20" s="1"/>
    </row>
    <row r="21" spans="1:5" ht="15" customHeight="1" x14ac:dyDescent="0.25">
      <c r="A21" s="1"/>
      <c r="B21" s="48" t="s">
        <v>12</v>
      </c>
      <c r="C21" s="49"/>
      <c r="D21" s="20"/>
      <c r="E21" s="1"/>
    </row>
    <row r="22" spans="1:5" ht="15" customHeight="1" x14ac:dyDescent="0.25">
      <c r="A22" s="1"/>
      <c r="B22" s="44" t="s">
        <v>12</v>
      </c>
      <c r="C22" s="10">
        <f>'Fane 6. Ikke-påvirkelige omk.'!C16</f>
        <v>11829375.33551424</v>
      </c>
      <c r="D22" s="11" t="s">
        <v>3</v>
      </c>
      <c r="E22" s="1"/>
    </row>
    <row r="23" spans="1:5" ht="15" customHeight="1" x14ac:dyDescent="0.25">
      <c r="A23" s="1"/>
      <c r="B23" s="48" t="s">
        <v>99</v>
      </c>
      <c r="C23" s="49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2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9"/>
      <c r="D27" s="20"/>
      <c r="E27" s="1"/>
    </row>
    <row r="28" spans="1:5" x14ac:dyDescent="0.25">
      <c r="A28" s="1"/>
      <c r="B28" s="53" t="s">
        <v>205</v>
      </c>
      <c r="C28" s="10">
        <f>'Fane 7. Kontrol af ØR2019'!E39</f>
        <v>0</v>
      </c>
      <c r="D28" s="11" t="s">
        <v>3</v>
      </c>
      <c r="E28" s="1"/>
    </row>
    <row r="29" spans="1:5" x14ac:dyDescent="0.25">
      <c r="A29" s="1"/>
      <c r="B29" s="48" t="s">
        <v>31</v>
      </c>
      <c r="C29" s="32">
        <f>SUM(C20,C22,C26,C28)</f>
        <v>31085586.746832982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/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ht="15" customHeight="1" x14ac:dyDescent="0.25">
      <c r="A9" s="1"/>
      <c r="B9" s="50" t="s">
        <v>26</v>
      </c>
      <c r="C9" s="7">
        <f>'Fane 2.1. Økonomisk ramme 2021'!C20</f>
        <v>19256211.411318742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Nøgletal'!C13</f>
        <v>234925.77921808866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-120696.16620060375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drift'!G37</f>
        <v>-150889.00735917492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anlæg'!G37</f>
        <v>-364316.30952023977</v>
      </c>
      <c r="D15" s="8" t="s">
        <v>3</v>
      </c>
      <c r="E15" s="1"/>
    </row>
    <row r="16" spans="1:5" ht="15" customHeight="1" x14ac:dyDescent="0.25">
      <c r="A16" s="1"/>
      <c r="B16" s="43" t="s">
        <v>20</v>
      </c>
      <c r="C16" s="10">
        <f>SUM(C9:C15)</f>
        <v>18855235.707456812</v>
      </c>
      <c r="D16" s="11" t="s">
        <v>3</v>
      </c>
      <c r="E16" s="1"/>
    </row>
    <row r="17" spans="1:5" x14ac:dyDescent="0.25">
      <c r="A17" s="1"/>
      <c r="B17" s="48" t="s">
        <v>12</v>
      </c>
      <c r="C17" s="49"/>
      <c r="D17" s="20"/>
      <c r="E17" s="1"/>
    </row>
    <row r="18" spans="1:5" ht="15" customHeight="1" x14ac:dyDescent="0.25">
      <c r="A18" s="1"/>
      <c r="B18" s="44" t="s">
        <v>12</v>
      </c>
      <c r="C18" s="10">
        <f>'Fane 6. Ikke-påvirkelige omk.'!C16*(1+'Fane 12. Nøgletal'!C13)</f>
        <v>11973693.714607514</v>
      </c>
      <c r="D18" s="11" t="s">
        <v>3</v>
      </c>
      <c r="E18" s="1"/>
    </row>
    <row r="19" spans="1:5" ht="15" customHeight="1" x14ac:dyDescent="0.25">
      <c r="A19" s="1"/>
      <c r="B19" s="48" t="s">
        <v>99</v>
      </c>
      <c r="C19" s="49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2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9"/>
      <c r="D23" s="20"/>
      <c r="E23" s="1"/>
    </row>
    <row r="24" spans="1:5" ht="15" customHeight="1" x14ac:dyDescent="0.25">
      <c r="A24" s="1"/>
      <c r="B24" s="53" t="s">
        <v>205</v>
      </c>
      <c r="C24" s="10">
        <f>'Fane 7. Kontrol af ØR2019'!E39</f>
        <v>0</v>
      </c>
      <c r="D24" s="11" t="s">
        <v>3</v>
      </c>
      <c r="E24" s="1"/>
    </row>
    <row r="25" spans="1:5" x14ac:dyDescent="0.25">
      <c r="A25" s="1"/>
      <c r="B25" s="48" t="s">
        <v>32</v>
      </c>
      <c r="C25" s="12">
        <f>SUM(C16,C18,C22,C24)</f>
        <v>30828929.422064327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0" t="s">
        <v>165</v>
      </c>
      <c r="C8" s="7">
        <f>'Fane 2.2. Økonomisk ramme 2022'!C16</f>
        <v>18855235.707456812</v>
      </c>
      <c r="D8" s="8" t="s">
        <v>3</v>
      </c>
      <c r="E8" s="1"/>
    </row>
    <row r="9" spans="1:5" ht="15" customHeight="1" x14ac:dyDescent="0.25">
      <c r="A9" s="1"/>
      <c r="B9" s="50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230033.87563097311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-118182.88728181933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drift'!G43</f>
        <v>-149675.2561839777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anlæg'!G43</f>
        <v>-358620.04186273611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18458791.397759251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omk.'!C16*(1+'Fane 12. Nøgletal'!C13)^2</f>
        <v>12119772.777925726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8" t="s">
        <v>109</v>
      </c>
      <c r="C22" s="12">
        <f>SUM(C15,C17,C21)</f>
        <v>30578564.175684977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0" t="s">
        <v>166</v>
      </c>
      <c r="C8" s="7">
        <f>'Fane 2.3. Økonomisk ramme 2023'!C15</f>
        <v>18458791.397759251</v>
      </c>
      <c r="D8" s="8" t="s">
        <v>3</v>
      </c>
      <c r="E8" s="1"/>
    </row>
    <row r="9" spans="1:5" ht="15" customHeight="1" x14ac:dyDescent="0.25">
      <c r="A9" s="1"/>
      <c r="B9" s="50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225197.25505266289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-115698.01072586219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-148471.26842323379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anlæg'!G49</f>
        <v>-353012.83819819131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18066806.535464626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omk.'!C16*(1+'Fane 12. Nøgletal'!C13)^3</f>
        <v>12267634.005816421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8" t="s">
        <v>243</v>
      </c>
      <c r="C22" s="12">
        <f>SUM(C15,C17,C21)</f>
        <v>30334440.541281044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167</v>
      </c>
      <c r="C8" s="49"/>
      <c r="D8" s="49"/>
      <c r="E8" s="49"/>
      <c r="F8" s="20"/>
      <c r="G8" s="1"/>
    </row>
    <row r="9" spans="1:7" x14ac:dyDescent="0.25">
      <c r="A9" s="1"/>
      <c r="B9" s="83" t="s">
        <v>23</v>
      </c>
      <c r="C9" s="84"/>
      <c r="D9" s="85"/>
      <c r="E9" s="7">
        <v>19805106.798539311</v>
      </c>
      <c r="F9" s="8" t="s">
        <v>3</v>
      </c>
      <c r="G9" s="1"/>
    </row>
    <row r="10" spans="1:7" ht="15" customHeight="1" x14ac:dyDescent="0.25">
      <c r="A10" s="1"/>
      <c r="B10" s="74" t="s">
        <v>45</v>
      </c>
      <c r="C10" s="75"/>
      <c r="D10" s="76"/>
      <c r="E10" s="7">
        <v>0</v>
      </c>
      <c r="F10" s="8" t="s">
        <v>3</v>
      </c>
      <c r="G10" s="1"/>
    </row>
    <row r="11" spans="1:7" ht="15" customHeight="1" x14ac:dyDescent="0.25">
      <c r="A11" s="1"/>
      <c r="B11" s="74" t="s">
        <v>46</v>
      </c>
      <c r="C11" s="75"/>
      <c r="D11" s="76"/>
      <c r="E11" s="9">
        <v>152966.01275999998</v>
      </c>
      <c r="F11" s="8" t="s">
        <v>3</v>
      </c>
      <c r="G11" s="1"/>
    </row>
    <row r="12" spans="1:7" x14ac:dyDescent="0.2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2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2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18</v>
      </c>
      <c r="C16" s="75"/>
      <c r="D16" s="76"/>
      <c r="E16" s="9">
        <f>E9*'Fane 12. Nøgletal'!C11+SUM(E10:E15)*'Fane 12. Nøgletal'!C12</f>
        <v>337719.73534668633</v>
      </c>
      <c r="F16" s="8" t="s">
        <v>3</v>
      </c>
      <c r="G16" s="1"/>
    </row>
    <row r="17" spans="1:7" x14ac:dyDescent="0.25">
      <c r="A17" s="1"/>
      <c r="B17" s="74" t="s">
        <v>9</v>
      </c>
      <c r="C17" s="75"/>
      <c r="D17" s="76"/>
      <c r="E17" s="9">
        <f>-SUM(E9:E16)*'Fane 5. Individuelt eff. krav'!G9</f>
        <v>-372674.57938049897</v>
      </c>
      <c r="F17" s="8" t="s">
        <v>3</v>
      </c>
      <c r="G17" s="1"/>
    </row>
    <row r="18" spans="1:7" x14ac:dyDescent="0.25">
      <c r="A18" s="1"/>
      <c r="B18" s="74" t="s">
        <v>27</v>
      </c>
      <c r="C18" s="75"/>
      <c r="D18" s="76"/>
      <c r="E18" s="9">
        <f>-'Fane 4.1. Gen. krav - drift'!G25</f>
        <v>-153181.87234722948</v>
      </c>
      <c r="F18" s="8" t="s">
        <v>3</v>
      </c>
      <c r="G18" s="1"/>
    </row>
    <row r="19" spans="1:7" x14ac:dyDescent="0.25">
      <c r="A19" s="1"/>
      <c r="B19" s="74" t="s">
        <v>28</v>
      </c>
      <c r="C19" s="75"/>
      <c r="D19" s="76"/>
      <c r="E19" s="9">
        <f>-'Fane 4.2. Gen. krav - anlæg'!G25</f>
        <v>-119759.57304608582</v>
      </c>
      <c r="F19" s="8" t="s">
        <v>3</v>
      </c>
      <c r="G19" s="1"/>
    </row>
    <row r="20" spans="1:7" x14ac:dyDescent="0.25">
      <c r="A20" s="1"/>
      <c r="B20" s="89" t="s">
        <v>20</v>
      </c>
      <c r="C20" s="90"/>
      <c r="D20" s="91"/>
      <c r="E20" s="10">
        <f>SUM(E9:E19)</f>
        <v>19650176.521872185</v>
      </c>
      <c r="F20" s="11" t="s">
        <v>3</v>
      </c>
      <c r="G20" s="1"/>
    </row>
    <row r="21" spans="1:7" x14ac:dyDescent="0.25">
      <c r="A21" s="1"/>
      <c r="B21" s="77" t="s">
        <v>12</v>
      </c>
      <c r="C21" s="78"/>
      <c r="D21" s="78"/>
      <c r="E21" s="49"/>
      <c r="F21" s="20"/>
      <c r="G21" s="1"/>
    </row>
    <row r="22" spans="1:7" x14ac:dyDescent="0.25">
      <c r="A22" s="1"/>
      <c r="B22" s="79" t="s">
        <v>12</v>
      </c>
      <c r="C22" s="80"/>
      <c r="D22" s="81"/>
      <c r="E22" s="10">
        <v>11928215.82719446</v>
      </c>
      <c r="F22" s="11" t="s">
        <v>3</v>
      </c>
      <c r="G22" s="1"/>
    </row>
    <row r="23" spans="1:7" ht="15" customHeight="1" x14ac:dyDescent="0.25">
      <c r="A23" s="1"/>
      <c r="B23" s="77" t="s">
        <v>99</v>
      </c>
      <c r="C23" s="78"/>
      <c r="D23" s="78"/>
      <c r="E23" s="49"/>
      <c r="F23" s="49"/>
      <c r="G23" s="1"/>
    </row>
    <row r="24" spans="1:7" ht="14.25" customHeight="1" x14ac:dyDescent="0.2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2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2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2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25">
      <c r="A28" s="1"/>
      <c r="B28" s="92" t="s">
        <v>229</v>
      </c>
      <c r="C28" s="93"/>
      <c r="D28" s="94"/>
      <c r="E28" s="10">
        <v>-278947</v>
      </c>
      <c r="F28" s="11" t="s">
        <v>3</v>
      </c>
      <c r="G28" s="1"/>
    </row>
    <row r="29" spans="1:7" x14ac:dyDescent="0.2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25">
      <c r="A30" s="1"/>
      <c r="B30" s="92" t="s">
        <v>231</v>
      </c>
      <c r="C30" s="93"/>
      <c r="D30" s="94"/>
      <c r="E30" s="10">
        <v>374387.33341073547</v>
      </c>
      <c r="F30" s="11" t="s">
        <v>3</v>
      </c>
      <c r="G30" s="1"/>
    </row>
    <row r="31" spans="1:7" x14ac:dyDescent="0.25">
      <c r="A31" s="1"/>
      <c r="B31" s="48" t="s">
        <v>232</v>
      </c>
      <c r="C31" s="49"/>
      <c r="D31" s="49"/>
      <c r="E31" s="49"/>
      <c r="F31" s="20"/>
      <c r="G31" s="1"/>
    </row>
    <row r="32" spans="1:7" x14ac:dyDescent="0.25">
      <c r="A32" s="1"/>
      <c r="B32" s="79" t="s">
        <v>233</v>
      </c>
      <c r="C32" s="80"/>
      <c r="D32" s="81"/>
      <c r="E32" s="10">
        <v>0</v>
      </c>
      <c r="F32" s="11" t="s">
        <v>3</v>
      </c>
      <c r="G32" s="1"/>
    </row>
    <row r="33" spans="1:7" x14ac:dyDescent="0.25">
      <c r="A33" s="1"/>
      <c r="B33" s="48" t="s">
        <v>24</v>
      </c>
      <c r="C33" s="49"/>
      <c r="D33" s="49"/>
      <c r="E33" s="12">
        <f>SUM(E30,E26,E28,E22,E20,E32)</f>
        <v>31673832.682477381</v>
      </c>
      <c r="F33" s="13" t="s">
        <v>3</v>
      </c>
      <c r="G33" s="1"/>
    </row>
    <row r="34" spans="1:7" ht="28.15" customHeight="1" x14ac:dyDescent="0.25">
      <c r="A34" s="1"/>
      <c r="B34" s="86" t="s">
        <v>179</v>
      </c>
      <c r="C34" s="87"/>
      <c r="D34" s="87"/>
      <c r="E34" s="87"/>
      <c r="F34" s="8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2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2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53</v>
      </c>
      <c r="C5" s="99"/>
      <c r="D5" s="99"/>
      <c r="E5" s="99"/>
      <c r="F5" s="100"/>
      <c r="G5" s="24">
        <v>7865832.286732736</v>
      </c>
      <c r="H5" s="14" t="s">
        <v>3</v>
      </c>
      <c r="I5" s="1"/>
    </row>
    <row r="6" spans="1:9" x14ac:dyDescent="0.25">
      <c r="A6" s="1"/>
      <c r="B6" s="98" t="s">
        <v>54</v>
      </c>
      <c r="C6" s="99"/>
      <c r="D6" s="99"/>
      <c r="E6" s="99"/>
      <c r="F6" s="100"/>
      <c r="G6" s="24">
        <f>G5*'Fane 12. Nøgletal'!C27</f>
        <v>157316.64573465471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7806413.7896387568</v>
      </c>
      <c r="H10" s="14" t="s">
        <v>3</v>
      </c>
      <c r="I10" s="1"/>
    </row>
    <row r="11" spans="1:9" x14ac:dyDescent="0.2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156128.27579277515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7779575.339029978</v>
      </c>
      <c r="H16" s="14" t="s">
        <v>3</v>
      </c>
      <c r="I16" s="1"/>
    </row>
    <row r="17" spans="1:9" x14ac:dyDescent="0.25">
      <c r="A17" s="1"/>
      <c r="B17" s="98" t="s">
        <v>148</v>
      </c>
      <c r="C17" s="99"/>
      <c r="D17" s="99"/>
      <c r="E17" s="99"/>
      <c r="F17" s="100"/>
      <c r="G17" s="24">
        <v>-94058.91620683753</v>
      </c>
      <c r="H17" s="14" t="s">
        <v>3</v>
      </c>
      <c r="I17" s="1"/>
    </row>
    <row r="18" spans="1:9" x14ac:dyDescent="0.2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2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153710.3284564628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7659093.6173614739</v>
      </c>
      <c r="H23" s="14" t="s">
        <v>3</v>
      </c>
      <c r="I23" s="1"/>
    </row>
    <row r="24" spans="1:9" x14ac:dyDescent="0.2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2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153181.87234722948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7597483.8683034182</v>
      </c>
      <c r="H29" s="14" t="s">
        <v>3</v>
      </c>
      <c r="I29" s="1"/>
    </row>
    <row r="30" spans="1:9" x14ac:dyDescent="0.2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8146.1878268399996</v>
      </c>
      <c r="H30" s="14" t="s">
        <v>3</v>
      </c>
      <c r="I30" s="1"/>
    </row>
    <row r="31" spans="1:9" x14ac:dyDescent="0.2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152112.60112260518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7544450.3679587459</v>
      </c>
      <c r="H35" s="14" t="s">
        <v>3</v>
      </c>
      <c r="I35" s="1"/>
    </row>
    <row r="36" spans="1:9" x14ac:dyDescent="0.2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150889.00735917492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7483762.8091988852</v>
      </c>
      <c r="H41" s="14" t="s">
        <v>3</v>
      </c>
      <c r="I41" s="1"/>
    </row>
    <row r="42" spans="1:9" x14ac:dyDescent="0.2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149675.2561839777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7423563.4211616898</v>
      </c>
      <c r="H47" s="14" t="s">
        <v>3</v>
      </c>
      <c r="I47" s="1"/>
    </row>
    <row r="48" spans="1:9" x14ac:dyDescent="0.2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148471.26842323379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72</v>
      </c>
      <c r="C5" s="99"/>
      <c r="D5" s="99"/>
      <c r="E5" s="99"/>
      <c r="F5" s="100"/>
      <c r="G5" s="24">
        <v>12161356.945426397</v>
      </c>
      <c r="H5" s="14" t="s">
        <v>3</v>
      </c>
      <c r="I5" s="1"/>
    </row>
    <row r="6" spans="1:9" x14ac:dyDescent="0.25">
      <c r="A6" s="1"/>
      <c r="B6" s="98" t="s">
        <v>69</v>
      </c>
      <c r="C6" s="99"/>
      <c r="D6" s="99"/>
      <c r="E6" s="99"/>
      <c r="F6" s="100"/>
      <c r="G6" s="24">
        <f>G5*'Fane 12. Nøgletal'!C18</f>
        <v>110668.34820338021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12203732.342407748</v>
      </c>
      <c r="H10" s="14" t="s">
        <v>3</v>
      </c>
      <c r="I10" s="1"/>
    </row>
    <row r="11" spans="1:9" x14ac:dyDescent="0.2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111053.96431591052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12297044.642681589</v>
      </c>
      <c r="H16" s="14" t="s">
        <v>3</v>
      </c>
      <c r="I16" s="1"/>
    </row>
    <row r="17" spans="1:9" x14ac:dyDescent="0.25">
      <c r="A17" s="1"/>
      <c r="B17" s="98" t="s">
        <v>149</v>
      </c>
      <c r="C17" s="99"/>
      <c r="D17" s="99"/>
      <c r="E17" s="99"/>
      <c r="F17" s="100"/>
      <c r="G17" s="24">
        <v>483361.9608949417</v>
      </c>
      <c r="H17" s="14" t="s">
        <v>3</v>
      </c>
      <c r="I17" s="1"/>
    </row>
    <row r="18" spans="1:9" x14ac:dyDescent="0.25">
      <c r="A18" s="1"/>
      <c r="B18" s="101" t="s">
        <v>79</v>
      </c>
      <c r="C18" s="102"/>
      <c r="D18" s="102"/>
      <c r="E18" s="102"/>
      <c r="F18" s="103"/>
      <c r="G18" s="24">
        <v>369987.55857311992</v>
      </c>
      <c r="H18" s="14" t="s">
        <v>3</v>
      </c>
      <c r="I18" s="1"/>
    </row>
    <row r="19" spans="1:9" x14ac:dyDescent="0.2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114408.42921070196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13256293.891825616</v>
      </c>
      <c r="H23" s="14" t="s">
        <v>3</v>
      </c>
      <c r="I23" s="1"/>
    </row>
    <row r="24" spans="1:9" x14ac:dyDescent="0.25">
      <c r="A24" s="1"/>
      <c r="B24" s="101" t="s">
        <v>83</v>
      </c>
      <c r="C24" s="102"/>
      <c r="D24" s="102"/>
      <c r="E24" s="102"/>
      <c r="F24" s="103"/>
      <c r="G24" s="24">
        <v>155979.44321137198</v>
      </c>
      <c r="H24" s="14" t="s">
        <v>3</v>
      </c>
      <c r="I24" s="1"/>
    </row>
    <row r="25" spans="1:9" x14ac:dyDescent="0.2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119759.57304608582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13454682.42988719</v>
      </c>
      <c r="H29" s="14" t="s">
        <v>3</v>
      </c>
      <c r="I29" s="1"/>
    </row>
    <row r="30" spans="1:9" x14ac:dyDescent="0.2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3610.5101121600001</v>
      </c>
      <c r="H30" s="14" t="s">
        <v>3</v>
      </c>
      <c r="I30" s="1"/>
    </row>
    <row r="31" spans="1:9" x14ac:dyDescent="0.2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370103.05584998213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13247865.800735991</v>
      </c>
      <c r="H35" s="14" t="s">
        <v>3</v>
      </c>
      <c r="I35" s="1"/>
    </row>
    <row r="36" spans="1:9" x14ac:dyDescent="0.2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364316.30952023977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13040728.795008585</v>
      </c>
      <c r="H41" s="14" t="s">
        <v>3</v>
      </c>
      <c r="I41" s="1"/>
    </row>
    <row r="42" spans="1:9" x14ac:dyDescent="0.2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358620.04186273611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12836830.479934229</v>
      </c>
      <c r="H47" s="14" t="s">
        <v>3</v>
      </c>
      <c r="I47" s="1"/>
    </row>
    <row r="48" spans="1:9" x14ac:dyDescent="0.2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353012.83819819131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124</v>
      </c>
      <c r="C9" s="99"/>
      <c r="D9" s="99"/>
      <c r="E9" s="99"/>
      <c r="F9" s="100"/>
      <c r="G9" s="23">
        <v>1.8362159473397147E-2</v>
      </c>
      <c r="H9" s="14"/>
      <c r="I9" s="1"/>
    </row>
    <row r="10" spans="1:9" x14ac:dyDescent="0.25">
      <c r="A10" s="1"/>
      <c r="B10" s="98" t="s">
        <v>181</v>
      </c>
      <c r="C10" s="99"/>
      <c r="D10" s="99"/>
      <c r="E10" s="99"/>
      <c r="F10" s="100"/>
      <c r="G10" s="23">
        <v>6.1923614318000449E-3</v>
      </c>
      <c r="H10" s="14"/>
      <c r="I10" s="1"/>
    </row>
    <row r="11" spans="1:9" x14ac:dyDescent="0.2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2020-10-21T06:52:20Z</dcterms:modified>
</cp:coreProperties>
</file>