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jørring Vandselskab AS (S04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30" i="11" l="1"/>
  <c r="E31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32" i="11" l="1"/>
  <c r="C10" i="37" s="1"/>
  <c r="C12" i="37" s="1"/>
  <c r="G32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32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5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C29" i="15" s="1"/>
  <c r="G47" i="36" l="1"/>
  <c r="G49" i="36" s="1"/>
  <c r="C15" i="23" s="1"/>
  <c r="C15" i="22"/>
  <c r="C9" i="22"/>
  <c r="C12" i="22" s="1"/>
  <c r="C13" i="22" l="1"/>
  <c r="C16" i="22" l="1"/>
  <c r="C29" i="22" s="1"/>
  <c r="C9" i="23" l="1"/>
  <c r="C12" i="23" s="1"/>
  <c r="C13" i="23" l="1"/>
  <c r="C16" i="23" s="1"/>
  <c r="C27" i="23" s="1"/>
</calcChain>
</file>

<file path=xl/sharedStrings.xml><?xml version="1.0" encoding="utf-8"?>
<sst xmlns="http://schemas.openxmlformats.org/spreadsheetml/2006/main" count="763" uniqueCount="293">
  <si>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</si>
  <si>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</si>
  <si>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</si>
  <si>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</si>
  <si>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</si>
  <si>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</si>
  <si>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</si>
  <si>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</si>
  <si>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</si>
  <si>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</si>
  <si>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</si>
  <si>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</si>
  <si>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</si>
  <si>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</si>
  <si>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</si>
  <si>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</si>
  <si>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</si>
  <si>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</si>
  <si>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</si>
  <si>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</si>
  <si>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</si>
  <si>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</si>
  <si>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</si>
  <si>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</si>
  <si>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</si>
  <si>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</si>
  <si>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</si>
  <si>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</si>
  <si>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</si>
  <si>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</si>
  <si>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</si>
  <si>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</si>
  <si>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</si>
  <si>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</si>
  <si>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</si>
  <si>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</si>
  <si>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</si>
  <si>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</si>
  <si>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</si>
  <si>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</si>
  <si>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</si>
  <si>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</si>
  <si>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</si>
  <si>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</si>
  <si>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</si>
  <si>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</si>
  <si>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</si>
  <si>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</si>
  <si>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</si>
  <si>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</si>
  <si>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</si>
  <si>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</si>
  <si>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</si>
  <si>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</si>
  <si>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</si>
  <si>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</si>
  <si>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</si>
  <si>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</si>
  <si>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</si>
  <si>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</si>
  <si>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</si>
  <si>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</si>
  <si>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</si>
  <si>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</si>
  <si>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</si>
  <si>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</si>
  <si>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</si>
  <si>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</si>
  <si>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</si>
  <si>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</si>
  <si>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</si>
  <si>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</si>
  <si>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</si>
  <si>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</si>
  <si>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</si>
  <si>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</si>
  <si>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</si>
  <si>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</si>
  <si>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</si>
  <si>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</si>
  <si>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</si>
  <si>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</si>
  <si>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</si>
  <si>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</si>
  <si>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</si>
  <si>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</si>
  <si>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</si>
  <si>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</si>
  <si>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</si>
  <si>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</si>
  <si>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</si>
  <si>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</si>
  <si>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</si>
  <si>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</si>
  <si>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</si>
  <si>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</si>
  <si>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</si>
  <si>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</si>
  <si>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</si>
  <si>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</si>
  <si>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</si>
  <si>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</si>
  <si>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</si>
  <si>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</si>
  <si>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</si>
  <si>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</si>
  <si>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</si>
  <si>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</si>
  <si>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</si>
  <si>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</si>
  <si>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</si>
  <si>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</si>
  <si>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</si>
  <si>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</si>
  <si>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</si>
  <si>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</si>
  <si>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</si>
  <si>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</si>
  <si>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</si>
  <si>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</si>
  <si>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</si>
  <si>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</si>
  <si>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</si>
  <si>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</si>
  <si>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</si>
  <si>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</si>
  <si>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</si>
  <si>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</si>
  <si>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</si>
  <si>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</si>
  <si>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</si>
  <si>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</si>
  <si>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</si>
  <si>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</si>
  <si>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</si>
  <si>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</si>
  <si>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</si>
  <si>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</si>
  <si>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</si>
  <si>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</si>
  <si>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</si>
  <si>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</si>
  <si>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</si>
  <si>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</si>
  <si>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</si>
  <si>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</si>
  <si>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</si>
  <si>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</si>
  <si>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</si>
  <si>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</si>
  <si>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</si>
  <si>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</si>
  <si>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</si>
  <si>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</si>
  <si>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</si>
  <si>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</si>
  <si>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</si>
  <si>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</si>
  <si>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</si>
  <si>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</si>
  <si>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</si>
  <si>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</si>
  <si>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</si>
  <si>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</si>
  <si>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</si>
  <si>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</si>
  <si>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</si>
  <si>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</si>
  <si>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</si>
  <si>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</si>
  <si>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</si>
  <si>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</si>
  <si>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</si>
  <si>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</si>
  <si>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</si>
  <si>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</si>
  <si>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</si>
  <si>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</si>
  <si>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</si>
  <si>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</si>
  <si>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</si>
  <si>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</si>
  <si>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</si>
  <si>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</si>
  <si>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</si>
  <si>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</si>
  <si>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</si>
  <si>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</si>
  <si>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</si>
  <si>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</si>
  <si>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</si>
  <si>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</si>
  <si>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</si>
  <si>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</si>
  <si>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</si>
  <si>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</si>
  <si>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</si>
  <si>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</si>
  <si>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</si>
  <si>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</si>
  <si>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</si>
  <si>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</si>
  <si>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</si>
  <si>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</si>
  <si>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</si>
  <si>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</si>
  <si>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</si>
  <si>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</si>
  <si>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</si>
  <si>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</si>
  <si>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</si>
  <si>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</si>
  <si>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</si>
  <si>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</si>
  <si>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</si>
  <si>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</si>
  <si>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</si>
  <si>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</si>
  <si>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</si>
  <si>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</si>
  <si>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</si>
  <si>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</si>
  <si>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</si>
  <si>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</si>
  <si>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</si>
  <si>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</si>
  <si>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</si>
  <si>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</si>
  <si>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</si>
  <si>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</si>
  <si>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</si>
  <si>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</si>
  <si>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</si>
  <si>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</si>
  <si>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</si>
  <si>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</si>
  <si>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</si>
  <si>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</si>
  <si>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</si>
  <si>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</si>
  <si>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</si>
  <si>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</si>
  <si>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</si>
  <si>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</si>
  <si>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</si>
  <si>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</si>
  <si>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</si>
  <si>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</si>
  <si>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</si>
  <si>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</si>
  <si>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</si>
  <si>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</si>
  <si>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</si>
  <si>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</si>
  <si>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</si>
  <si>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</si>
  <si>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</si>
  <si>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</si>
  <si>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</si>
  <si>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</si>
  <si>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</si>
  <si>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</si>
  <si>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</si>
  <si>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</si>
  <si>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</si>
  <si>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</si>
  <si>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</si>
  <si>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</si>
  <si>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</si>
  <si>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</si>
  <si>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</si>
  <si>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Brønde</t>
  </si>
  <si>
    <t>75</t>
  </si>
  <si>
    <t>Ledningsnet ≤ Ø 200 mm</t>
  </si>
  <si>
    <t>Ø 1000 mm &lt; Ledningsnet ≤ Ø 1200 mm</t>
  </si>
  <si>
    <t>Ø 1200 mm &lt; Ledningsnet ≤ Ø 1600 mm</t>
  </si>
  <si>
    <t>Ø 200 mm &lt; Ledningsnet ≤ Ø 500 mm</t>
  </si>
  <si>
    <t>Ø 500 mm &lt; Ledningsnet ≤ Ø 800 mm</t>
  </si>
  <si>
    <t>Ø 800 mm &lt; Ledningsnet ≤ Ø 1000 mm</t>
  </si>
  <si>
    <t>Tryksatte minipumpestationer (husstandssystemer)</t>
  </si>
  <si>
    <t>30</t>
  </si>
  <si>
    <t>Pumpestationer m. overbygning (&lt; 20 m2), Konstruktioner</t>
  </si>
  <si>
    <t>50</t>
  </si>
  <si>
    <t>Pumpestationer m. overbygning (&lt; 20 m2), Mek/EL</t>
  </si>
  <si>
    <t>20</t>
  </si>
  <si>
    <t>Pumpestationer m. overbygning (&lt; 20 m2), SRO</t>
  </si>
  <si>
    <t>10</t>
  </si>
  <si>
    <t>Udvidelse af forsyningsområde</t>
  </si>
  <si>
    <t>Ingen tillæg</t>
  </si>
  <si>
    <t>Yderligere opkrævningsret efter § 17, stk. 10 - 2017</t>
  </si>
  <si>
    <t>Yderligere opkrævningsret efter § 17, stk. 10 - 2018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</si>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</sst>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226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43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41</v>
      </c>
      <c r="D15" s="69" t="s">
        <v>107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42</v>
      </c>
      <c r="D16" s="69" t="s">
        <v>214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180</v>
      </c>
      <c r="D17" s="69" t="s">
        <v>215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157</v>
      </c>
      <c r="D18" s="66" t="s">
        <v>135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158</v>
      </c>
      <c r="D19" s="66" t="s">
        <v>136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159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111</v>
      </c>
      <c r="D22" s="60" t="s">
        <v>255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184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44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160</v>
      </c>
      <c r="D25" s="60" t="s">
        <v>112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161</v>
      </c>
      <c r="D26" s="60" t="s">
        <v>113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162</v>
      </c>
      <c r="D27" s="60" t="s">
        <v>114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216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46</v>
      </c>
      <c r="D29" s="60" t="s">
        <v>45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47</v>
      </c>
      <c r="D30" s="63" t="s">
        <v>155</v>
      </c>
      <c r="E30" s="64"/>
      <c r="F30" s="64"/>
      <c r="G30" s="6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165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196</v>
      </c>
      <c r="C8" s="93"/>
      <c r="D8" s="94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1930886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83457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480304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18478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2513125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2574819.3035249999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2" t="s">
        <v>178</v>
      </c>
      <c r="C18" s="93"/>
      <c r="D18" s="94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2"/>
      <c r="C23" s="93"/>
      <c r="D23" s="94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2" t="s">
        <v>146</v>
      </c>
      <c r="C26" s="93"/>
      <c r="D26" s="94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2"/>
      <c r="C31" s="93"/>
      <c r="D31" s="94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137</v>
      </c>
      <c r="C8" s="93"/>
      <c r="D8" s="93"/>
      <c r="E8" s="93"/>
      <c r="F8" s="94"/>
      <c r="G8" s="1"/>
    </row>
    <row r="9" spans="1:7" x14ac:dyDescent="0.25">
      <c r="A9" s="1"/>
      <c r="B9" s="95" t="s">
        <v>138</v>
      </c>
      <c r="C9" s="96"/>
      <c r="D9" s="97"/>
      <c r="E9" s="9">
        <v>162814639.04586476</v>
      </c>
      <c r="F9" s="14" t="s">
        <v>3</v>
      </c>
      <c r="G9" s="1"/>
    </row>
    <row r="10" spans="1:7" x14ac:dyDescent="0.25">
      <c r="A10" s="1"/>
      <c r="B10" s="95" t="s">
        <v>139</v>
      </c>
      <c r="C10" s="96"/>
      <c r="D10" s="97"/>
      <c r="E10" s="9">
        <v>134105651</v>
      </c>
      <c r="F10" s="14" t="s">
        <v>3</v>
      </c>
      <c r="G10" s="1"/>
    </row>
    <row r="11" spans="1:7" x14ac:dyDescent="0.25">
      <c r="A11" s="1"/>
      <c r="B11" s="95" t="s">
        <v>40</v>
      </c>
      <c r="C11" s="96"/>
      <c r="D11" s="97"/>
      <c r="E11" s="9">
        <v>30000</v>
      </c>
      <c r="F11" s="14" t="s">
        <v>3</v>
      </c>
      <c r="G11" s="1"/>
    </row>
    <row r="12" spans="1:7" x14ac:dyDescent="0.25">
      <c r="A12" s="1"/>
      <c r="B12" s="85" t="s">
        <v>140</v>
      </c>
      <c r="C12" s="86"/>
      <c r="D12" s="104"/>
      <c r="E12" s="10">
        <f>E9-(E10-E11)</f>
        <v>28738988.045864761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0" t="s">
        <v>156</v>
      </c>
      <c r="C14" s="81"/>
      <c r="D14" s="81"/>
      <c r="E14" s="81"/>
      <c r="F14" s="82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52</v>
      </c>
      <c r="C16" s="93"/>
      <c r="D16" s="93"/>
      <c r="E16" s="93"/>
      <c r="F16" s="94"/>
      <c r="G16" s="1"/>
    </row>
    <row r="17" spans="1:7" x14ac:dyDescent="0.25">
      <c r="A17" s="1"/>
      <c r="B17" s="95" t="s">
        <v>53</v>
      </c>
      <c r="C17" s="96"/>
      <c r="D17" s="97"/>
      <c r="E17" s="9">
        <v>150805677.99095592</v>
      </c>
      <c r="F17" s="14" t="s">
        <v>3</v>
      </c>
      <c r="G17" s="1"/>
    </row>
    <row r="18" spans="1:7" x14ac:dyDescent="0.25">
      <c r="A18" s="1"/>
      <c r="B18" s="95" t="s">
        <v>54</v>
      </c>
      <c r="C18" s="96"/>
      <c r="D18" s="97"/>
      <c r="E18" s="9">
        <v>137939584</v>
      </c>
      <c r="F18" s="14" t="s">
        <v>3</v>
      </c>
      <c r="G18" s="1"/>
    </row>
    <row r="19" spans="1:7" x14ac:dyDescent="0.25">
      <c r="A19" s="1"/>
      <c r="B19" s="95" t="s">
        <v>40</v>
      </c>
      <c r="C19" s="96"/>
      <c r="D19" s="97"/>
      <c r="E19" s="9">
        <v>37640</v>
      </c>
      <c r="F19" s="14" t="s">
        <v>3</v>
      </c>
      <c r="G19" s="1"/>
    </row>
    <row r="20" spans="1:7" x14ac:dyDescent="0.25">
      <c r="A20" s="1"/>
      <c r="B20" s="85" t="s">
        <v>55</v>
      </c>
      <c r="C20" s="86"/>
      <c r="D20" s="104"/>
      <c r="E20" s="10">
        <f>E17-(E18-E19)</f>
        <v>12903733.990955919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0" t="s">
        <v>218</v>
      </c>
      <c r="C22" s="81"/>
      <c r="D22" s="81"/>
      <c r="E22" s="81"/>
      <c r="F22" s="82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245</v>
      </c>
      <c r="C24" s="93"/>
      <c r="D24" s="93"/>
      <c r="E24" s="93"/>
      <c r="F24" s="94"/>
      <c r="G24" s="1"/>
    </row>
    <row r="25" spans="1:7" x14ac:dyDescent="0.25">
      <c r="A25" s="1"/>
      <c r="B25" s="95" t="s">
        <v>246</v>
      </c>
      <c r="C25" s="96"/>
      <c r="D25" s="97"/>
      <c r="E25" s="9">
        <v>150538556.21842054</v>
      </c>
      <c r="F25" s="14" t="s">
        <v>3</v>
      </c>
      <c r="G25" s="1"/>
    </row>
    <row r="26" spans="1:7" x14ac:dyDescent="0.25">
      <c r="A26" s="1"/>
      <c r="B26" s="95" t="s">
        <v>247</v>
      </c>
      <c r="C26" s="96"/>
      <c r="D26" s="97"/>
      <c r="E26" s="9">
        <v>144406351</v>
      </c>
      <c r="F26" s="14" t="s">
        <v>3</v>
      </c>
      <c r="G26" s="1"/>
    </row>
    <row r="27" spans="1:7" x14ac:dyDescent="0.25">
      <c r="A27" s="1"/>
      <c r="B27" s="95" t="s">
        <v>40</v>
      </c>
      <c r="C27" s="96"/>
      <c r="D27" s="97"/>
      <c r="E27" s="9">
        <v>1076698</v>
      </c>
      <c r="F27" s="14" t="s">
        <v>3</v>
      </c>
      <c r="G27" s="1"/>
    </row>
    <row r="28" spans="1:7" x14ac:dyDescent="0.25">
      <c r="A28" s="1"/>
      <c r="B28" s="85" t="s">
        <v>248</v>
      </c>
      <c r="C28" s="86"/>
      <c r="D28" s="104"/>
      <c r="E28" s="10">
        <f>E25-(E26-E27)</f>
        <v>7208903.2184205353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2" t="s">
        <v>250</v>
      </c>
      <c r="C31" s="93"/>
      <c r="D31" s="93"/>
      <c r="E31" s="93"/>
      <c r="F31" s="94"/>
      <c r="G31" s="1"/>
    </row>
    <row r="32" spans="1:7" x14ac:dyDescent="0.25">
      <c r="A32" s="1"/>
      <c r="B32" s="85" t="s">
        <v>251</v>
      </c>
      <c r="C32" s="86"/>
      <c r="D32" s="104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2"/>
      <c r="C33" s="93"/>
      <c r="D33" s="93"/>
      <c r="E33" s="93"/>
      <c r="F33" s="94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2" t="s">
        <v>249</v>
      </c>
      <c r="C35" s="93"/>
      <c r="D35" s="93"/>
      <c r="E35" s="93"/>
      <c r="F35" s="94"/>
      <c r="G35" s="1"/>
    </row>
    <row r="36" spans="1:7" x14ac:dyDescent="0.25">
      <c r="A36" s="1"/>
      <c r="B36" s="105" t="s">
        <v>289</v>
      </c>
      <c r="C36" s="106"/>
      <c r="D36" s="107"/>
      <c r="E36" s="9">
        <v>0</v>
      </c>
      <c r="F36" s="14"/>
      <c r="G36" s="1"/>
    </row>
    <row r="37" spans="1:7" x14ac:dyDescent="0.25">
      <c r="A37" s="1"/>
      <c r="B37" s="105" t="s">
        <v>290</v>
      </c>
      <c r="C37" s="106"/>
      <c r="D37" s="107"/>
      <c r="E37" s="9">
        <v>0</v>
      </c>
      <c r="F37" s="14"/>
      <c r="G37" s="1"/>
    </row>
    <row r="38" spans="1:7" x14ac:dyDescent="0.25">
      <c r="A38" s="1"/>
      <c r="B38" s="105" t="s">
        <v>252</v>
      </c>
      <c r="C38" s="106"/>
      <c r="D38" s="107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5" t="s">
        <v>152</v>
      </c>
      <c r="C39" s="106"/>
      <c r="D39" s="107"/>
      <c r="E39" s="9">
        <v>2</v>
      </c>
      <c r="F39" s="14" t="s">
        <v>21</v>
      </c>
      <c r="G39" s="1"/>
    </row>
    <row r="40" spans="1:7" x14ac:dyDescent="0.25">
      <c r="A40" s="1"/>
      <c r="B40" s="111" t="s">
        <v>253</v>
      </c>
      <c r="C40" s="111"/>
      <c r="D40" s="111"/>
      <c r="E40" s="10">
        <f>E38/E39</f>
        <v>0</v>
      </c>
      <c r="F40" s="17" t="s">
        <v>3</v>
      </c>
      <c r="G40" s="1"/>
    </row>
    <row r="41" spans="1:7" x14ac:dyDescent="0.25">
      <c r="A41" s="1"/>
      <c r="B41" s="108"/>
      <c r="C41" s="109"/>
      <c r="D41" s="109"/>
      <c r="E41" s="109"/>
      <c r="F41" s="110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2" t="s">
        <v>202</v>
      </c>
      <c r="C9" s="93"/>
      <c r="D9" s="93"/>
      <c r="E9" s="93"/>
      <c r="F9" s="94"/>
      <c r="G9" s="1"/>
    </row>
    <row r="10" spans="1:7" x14ac:dyDescent="0.25">
      <c r="A10" s="1"/>
      <c r="B10" s="80" t="s">
        <v>150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5" t="s">
        <v>203</v>
      </c>
      <c r="C11" s="96"/>
      <c r="D11" s="97"/>
      <c r="E11" s="7">
        <v>0</v>
      </c>
      <c r="F11" s="8" t="s">
        <v>3</v>
      </c>
      <c r="G11" s="1"/>
    </row>
    <row r="12" spans="1:7" x14ac:dyDescent="0.25">
      <c r="A12" s="1"/>
      <c r="B12" s="85" t="s">
        <v>151</v>
      </c>
      <c r="C12" s="86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92" t="s">
        <v>134</v>
      </c>
      <c r="C13" s="93"/>
      <c r="D13" s="93"/>
      <c r="E13" s="93"/>
      <c r="F13" s="94"/>
      <c r="G13" s="1"/>
    </row>
    <row r="14" spans="1:7" x14ac:dyDescent="0.25">
      <c r="A14" s="1"/>
      <c r="B14" s="95" t="s">
        <v>204</v>
      </c>
      <c r="C14" s="96"/>
      <c r="D14" s="97"/>
      <c r="E14" s="9">
        <v>935611</v>
      </c>
      <c r="F14" s="8" t="s">
        <v>3</v>
      </c>
      <c r="G14" s="1"/>
    </row>
    <row r="15" spans="1:7" x14ac:dyDescent="0.25">
      <c r="A15" s="1"/>
      <c r="B15" s="80" t="s">
        <v>205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5" t="s">
        <v>151</v>
      </c>
      <c r="C16" s="86"/>
      <c r="D16" s="104"/>
      <c r="E16" s="10">
        <f>E15-E14</f>
        <v>-935611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-935611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237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7" t="s">
        <v>271</v>
      </c>
      <c r="C10" s="58" t="s">
        <v>272</v>
      </c>
      <c r="D10" s="9">
        <v>1092975</v>
      </c>
      <c r="E10" s="9">
        <f>IFERROR(D10/C10,0)</f>
        <v>14573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7" t="s">
        <v>273</v>
      </c>
      <c r="C11" s="58" t="s">
        <v>272</v>
      </c>
      <c r="D11" s="9">
        <v>2760711</v>
      </c>
      <c r="E11" s="9">
        <f t="shared" ref="E11:E29" si="0">IFERROR(D11/C11,0)</f>
        <v>36809.480000000003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7" t="s">
        <v>274</v>
      </c>
      <c r="C12" s="58" t="s">
        <v>272</v>
      </c>
      <c r="D12" s="9">
        <v>1704608</v>
      </c>
      <c r="E12" s="9">
        <f t="shared" si="0"/>
        <v>22728.106666666667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7" t="s">
        <v>275</v>
      </c>
      <c r="C13" s="58" t="s">
        <v>272</v>
      </c>
      <c r="D13" s="9">
        <v>2210607</v>
      </c>
      <c r="E13" s="9">
        <f t="shared" si="0"/>
        <v>29474.76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7" t="s">
        <v>276</v>
      </c>
      <c r="C14" s="58" t="s">
        <v>272</v>
      </c>
      <c r="D14" s="9">
        <v>2574954</v>
      </c>
      <c r="E14" s="9">
        <f t="shared" si="0"/>
        <v>34332.720000000001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7" t="s">
        <v>277</v>
      </c>
      <c r="C15" s="58" t="s">
        <v>272</v>
      </c>
      <c r="D15" s="9">
        <v>1193220</v>
      </c>
      <c r="E15" s="9">
        <f t="shared" si="0"/>
        <v>15909.6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7" t="s">
        <v>278</v>
      </c>
      <c r="C16" s="58" t="s">
        <v>272</v>
      </c>
      <c r="D16" s="9">
        <v>415768</v>
      </c>
      <c r="E16" s="9">
        <f t="shared" si="0"/>
        <v>5543.5733333333337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7" t="s">
        <v>271</v>
      </c>
      <c r="C17" s="58" t="s">
        <v>272</v>
      </c>
      <c r="D17" s="9">
        <v>1884977</v>
      </c>
      <c r="E17" s="9">
        <f t="shared" si="0"/>
        <v>25133.026666666668</v>
      </c>
      <c r="F17" s="9">
        <v>0</v>
      </c>
      <c r="G17" s="9">
        <v>10436</v>
      </c>
      <c r="H17" s="14" t="s">
        <v>3</v>
      </c>
      <c r="I17" s="1"/>
    </row>
    <row r="18" spans="1:9" x14ac:dyDescent="0.25">
      <c r="A18" s="1"/>
      <c r="B18" s="57" t="s">
        <v>273</v>
      </c>
      <c r="C18" s="58" t="s">
        <v>272</v>
      </c>
      <c r="D18" s="9">
        <v>2961668</v>
      </c>
      <c r="E18" s="9">
        <f t="shared" si="0"/>
        <v>39488.906666666669</v>
      </c>
      <c r="F18" s="9">
        <v>0</v>
      </c>
      <c r="G18" s="9">
        <v>16396</v>
      </c>
      <c r="H18" s="14" t="s">
        <v>3</v>
      </c>
      <c r="I18" s="1"/>
    </row>
    <row r="19" spans="1:9" ht="39" x14ac:dyDescent="0.25">
      <c r="A19" s="1"/>
      <c r="B19" s="57" t="s">
        <v>279</v>
      </c>
      <c r="C19" s="58" t="s">
        <v>280</v>
      </c>
      <c r="D19" s="9">
        <v>41307</v>
      </c>
      <c r="E19" s="9">
        <f t="shared" si="0"/>
        <v>1376.9</v>
      </c>
      <c r="F19" s="9">
        <v>0</v>
      </c>
      <c r="G19" s="9">
        <v>229</v>
      </c>
      <c r="H19" s="14" t="s">
        <v>3</v>
      </c>
      <c r="I19" s="1"/>
    </row>
    <row r="20" spans="1:9" ht="26.25" x14ac:dyDescent="0.25">
      <c r="A20" s="1"/>
      <c r="B20" s="57" t="s">
        <v>274</v>
      </c>
      <c r="C20" s="58" t="s">
        <v>272</v>
      </c>
      <c r="D20" s="9">
        <v>191001</v>
      </c>
      <c r="E20" s="9">
        <f t="shared" si="0"/>
        <v>2546.6799999999998</v>
      </c>
      <c r="F20" s="9">
        <v>0</v>
      </c>
      <c r="G20" s="9">
        <v>1057</v>
      </c>
      <c r="H20" s="14" t="s">
        <v>3</v>
      </c>
      <c r="I20" s="1"/>
    </row>
    <row r="21" spans="1:9" ht="26.25" x14ac:dyDescent="0.25">
      <c r="A21" s="1"/>
      <c r="B21" s="57" t="s">
        <v>275</v>
      </c>
      <c r="C21" s="58" t="s">
        <v>272</v>
      </c>
      <c r="D21" s="9">
        <v>683498</v>
      </c>
      <c r="E21" s="9">
        <f t="shared" si="0"/>
        <v>9113.3066666666673</v>
      </c>
      <c r="F21" s="9">
        <v>0</v>
      </c>
      <c r="G21" s="9">
        <v>3784</v>
      </c>
      <c r="H21" s="14" t="s">
        <v>3</v>
      </c>
      <c r="I21" s="1"/>
    </row>
    <row r="22" spans="1:9" ht="26.25" x14ac:dyDescent="0.25">
      <c r="A22" s="1"/>
      <c r="B22" s="57" t="s">
        <v>276</v>
      </c>
      <c r="C22" s="58" t="s">
        <v>272</v>
      </c>
      <c r="D22" s="9">
        <v>2148982</v>
      </c>
      <c r="E22" s="9">
        <f t="shared" si="0"/>
        <v>28653.093333333334</v>
      </c>
      <c r="F22" s="9">
        <v>0</v>
      </c>
      <c r="G22" s="9">
        <v>11897</v>
      </c>
      <c r="H22" s="14" t="s">
        <v>3</v>
      </c>
      <c r="I22" s="1"/>
    </row>
    <row r="23" spans="1:9" ht="26.25" x14ac:dyDescent="0.25">
      <c r="A23" s="1"/>
      <c r="B23" s="57" t="s">
        <v>277</v>
      </c>
      <c r="C23" s="58" t="s">
        <v>272</v>
      </c>
      <c r="D23" s="9">
        <v>1192242</v>
      </c>
      <c r="E23" s="9">
        <f t="shared" si="0"/>
        <v>15896.56</v>
      </c>
      <c r="F23" s="9">
        <v>0</v>
      </c>
      <c r="G23" s="9">
        <v>6600</v>
      </c>
      <c r="H23" s="14" t="s">
        <v>3</v>
      </c>
      <c r="I23" s="1"/>
    </row>
    <row r="24" spans="1:9" ht="26.25" x14ac:dyDescent="0.25">
      <c r="A24" s="1"/>
      <c r="B24" s="57" t="s">
        <v>278</v>
      </c>
      <c r="C24" s="58" t="s">
        <v>272</v>
      </c>
      <c r="D24" s="9">
        <v>1279222</v>
      </c>
      <c r="E24" s="9">
        <f t="shared" si="0"/>
        <v>17056.293333333335</v>
      </c>
      <c r="F24" s="9">
        <v>0</v>
      </c>
      <c r="G24" s="9">
        <v>7082</v>
      </c>
      <c r="H24" s="14" t="s">
        <v>3</v>
      </c>
      <c r="I24" s="1"/>
    </row>
    <row r="25" spans="1:9" x14ac:dyDescent="0.25">
      <c r="A25" s="1"/>
      <c r="B25" s="57" t="s">
        <v>271</v>
      </c>
      <c r="C25" s="58" t="s">
        <v>272</v>
      </c>
      <c r="D25" s="9">
        <v>1268546</v>
      </c>
      <c r="E25" s="9">
        <f t="shared" si="0"/>
        <v>16913.946666666667</v>
      </c>
      <c r="F25" s="9">
        <v>0</v>
      </c>
      <c r="G25" s="9">
        <v>7023</v>
      </c>
      <c r="H25" s="14" t="s">
        <v>3</v>
      </c>
      <c r="I25" s="1"/>
    </row>
    <row r="26" spans="1:9" x14ac:dyDescent="0.25">
      <c r="A26" s="1"/>
      <c r="B26" s="57" t="s">
        <v>273</v>
      </c>
      <c r="C26" s="58" t="s">
        <v>272</v>
      </c>
      <c r="D26" s="9">
        <v>3249451</v>
      </c>
      <c r="E26" s="9">
        <f t="shared" si="0"/>
        <v>43326.013333333336</v>
      </c>
      <c r="F26" s="9">
        <v>0</v>
      </c>
      <c r="G26" s="9">
        <v>17989</v>
      </c>
      <c r="H26" s="14" t="s">
        <v>3</v>
      </c>
      <c r="I26" s="1"/>
    </row>
    <row r="27" spans="1:9" ht="26.25" x14ac:dyDescent="0.25">
      <c r="A27" s="1"/>
      <c r="B27" s="57" t="s">
        <v>276</v>
      </c>
      <c r="C27" s="58" t="s">
        <v>272</v>
      </c>
      <c r="D27" s="9">
        <v>2821146</v>
      </c>
      <c r="E27" s="9">
        <f t="shared" si="0"/>
        <v>37615.279999999999</v>
      </c>
      <c r="F27" s="9">
        <v>0</v>
      </c>
      <c r="G27" s="9">
        <v>15618</v>
      </c>
      <c r="H27" s="14" t="s">
        <v>3</v>
      </c>
      <c r="I27" s="1"/>
    </row>
    <row r="28" spans="1:9" ht="26.25" x14ac:dyDescent="0.25">
      <c r="A28" s="1"/>
      <c r="B28" s="57" t="s">
        <v>277</v>
      </c>
      <c r="C28" s="58" t="s">
        <v>272</v>
      </c>
      <c r="D28" s="9">
        <v>2840424</v>
      </c>
      <c r="E28" s="9">
        <f t="shared" si="0"/>
        <v>37872.32</v>
      </c>
      <c r="F28" s="9">
        <v>0</v>
      </c>
      <c r="G28" s="9">
        <v>15725</v>
      </c>
      <c r="H28" s="14" t="s">
        <v>3</v>
      </c>
      <c r="I28" s="1"/>
    </row>
    <row r="29" spans="1:9" ht="39" x14ac:dyDescent="0.25">
      <c r="A29" s="1"/>
      <c r="B29" s="57" t="s">
        <v>281</v>
      </c>
      <c r="C29" s="58" t="s">
        <v>282</v>
      </c>
      <c r="D29" s="9">
        <v>1291911</v>
      </c>
      <c r="E29" s="9">
        <f t="shared" si="0"/>
        <v>25838.22</v>
      </c>
      <c r="F29" s="9">
        <v>0</v>
      </c>
      <c r="G29" s="9">
        <v>0</v>
      </c>
      <c r="H29" s="14" t="s">
        <v>3</v>
      </c>
      <c r="I29" s="1"/>
    </row>
    <row r="30" spans="1:9" ht="39" x14ac:dyDescent="0.25">
      <c r="A30" s="1"/>
      <c r="B30" s="57" t="s">
        <v>283</v>
      </c>
      <c r="C30" s="58" t="s">
        <v>284</v>
      </c>
      <c r="D30" s="9">
        <v>1033598</v>
      </c>
      <c r="E30" s="9">
        <f t="shared" ref="E30:E31" si="1">IFERROR(D30/C30,0)</f>
        <v>51679.9</v>
      </c>
      <c r="F30" s="9">
        <v>0</v>
      </c>
      <c r="G30" s="9">
        <v>0</v>
      </c>
      <c r="H30" s="14" t="s">
        <v>3</v>
      </c>
      <c r="I30" s="1"/>
    </row>
    <row r="31" spans="1:9" ht="39" x14ac:dyDescent="0.25">
      <c r="A31" s="1"/>
      <c r="B31" s="57" t="s">
        <v>285</v>
      </c>
      <c r="C31" s="58" t="s">
        <v>286</v>
      </c>
      <c r="D31" s="9">
        <v>18619</v>
      </c>
      <c r="E31" s="9">
        <f t="shared" si="1"/>
        <v>1861.9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92" t="s">
        <v>238</v>
      </c>
      <c r="C32" s="93"/>
      <c r="D32" s="94"/>
      <c r="E32" s="12">
        <f>SUM(E10:E31)</f>
        <v>513743.58666666679</v>
      </c>
      <c r="F32" s="12">
        <f t="shared" ref="F32:G32" si="2">SUM(F10:F31)</f>
        <v>0</v>
      </c>
      <c r="G32" s="12">
        <f t="shared" si="2"/>
        <v>113836</v>
      </c>
      <c r="H32" s="13" t="s">
        <v>3</v>
      </c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32:D3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168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Anlægsprojekter'!F32</f>
        <v>0</v>
      </c>
      <c r="D10" s="14" t="s">
        <v>3</v>
      </c>
      <c r="E10" s="9">
        <f>SUM('Fane 9. Anlægsprojekter'!E32,'Fane 9. Anlægsprojekter'!G32)</f>
        <v>627579.58666666679</v>
      </c>
      <c r="F10" s="14" t="s">
        <v>3</v>
      </c>
      <c r="G10" s="1"/>
    </row>
    <row r="11" spans="1:7" x14ac:dyDescent="0.25">
      <c r="A11" s="1"/>
      <c r="B11" s="59" t="s">
        <v>287</v>
      </c>
      <c r="C11" s="22">
        <v>387590</v>
      </c>
      <c r="D11" s="14" t="s">
        <v>3</v>
      </c>
      <c r="E11" s="9">
        <v>245476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387590</v>
      </c>
      <c r="D12" s="13" t="s">
        <v>3</v>
      </c>
      <c r="E12" s="12">
        <f>SUM(E10:E11)</f>
        <v>873055.58666666679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392318.598</v>
      </c>
      <c r="D13" s="13" t="s">
        <v>3</v>
      </c>
      <c r="E13" s="12">
        <f>E12*(1+'Fane 14. Nøgletal'!C13)</f>
        <v>883706.86482400016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WriHYaKUK5uUqtGBU+t4PEnfmC7oaOE2FwWYkPQPKNEZIbz02mZXrgenh7Gpyh+wr01oAU+/gjtcZ6IJ6s0fQ==" saltValue="b79JtJ5pwIoBnf8WAMqRd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141</v>
      </c>
      <c r="C8" s="93"/>
      <c r="D8" s="93"/>
      <c r="E8" s="93"/>
      <c r="F8" s="94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288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142</v>
      </c>
      <c r="C16" s="93"/>
      <c r="D16" s="93"/>
      <c r="E16" s="93"/>
      <c r="F16" s="94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288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143</v>
      </c>
      <c r="C24" s="93"/>
      <c r="D24" s="93"/>
      <c r="E24" s="93"/>
      <c r="F24" s="94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288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2" t="s">
        <v>223</v>
      </c>
      <c r="C32" s="93"/>
      <c r="D32" s="93"/>
      <c r="E32" s="93"/>
      <c r="F32" s="94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288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+XLwC+ejVWmzfKBjlcS4FarkK2yrenlx38EhWrLywNGZF4bCrhI/CNXoAzmhkGNkbWrHV8eNLfN2yd6yX5MXOQ==" saltValue="naGuayNEdjC1aU74YPaAP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125</v>
      </c>
      <c r="C8" s="93"/>
      <c r="D8" s="93"/>
      <c r="E8" s="93"/>
      <c r="F8" s="94"/>
      <c r="G8" s="1"/>
    </row>
    <row r="9" spans="1:7" x14ac:dyDescent="0.25">
      <c r="A9" s="1"/>
      <c r="B9" s="112" t="s">
        <v>207</v>
      </c>
      <c r="C9" s="113"/>
      <c r="D9" s="114"/>
      <c r="E9" s="9">
        <v>0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90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90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2" t="s">
        <v>128</v>
      </c>
      <c r="C12" s="93"/>
      <c r="D12" s="94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126</v>
      </c>
      <c r="C14" s="93"/>
      <c r="D14" s="93"/>
      <c r="E14" s="93"/>
      <c r="F14" s="94"/>
      <c r="G14" s="1"/>
    </row>
    <row r="15" spans="1:7" x14ac:dyDescent="0.25">
      <c r="A15" s="1"/>
      <c r="B15" s="112" t="s">
        <v>207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90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90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2" t="s">
        <v>129</v>
      </c>
      <c r="C18" s="93"/>
      <c r="D18" s="9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127</v>
      </c>
      <c r="C20" s="93"/>
      <c r="D20" s="93"/>
      <c r="E20" s="93"/>
      <c r="F20" s="94"/>
      <c r="G20" s="1"/>
    </row>
    <row r="21" spans="1:7" x14ac:dyDescent="0.25">
      <c r="A21" s="1"/>
      <c r="B21" s="112" t="s">
        <v>207</v>
      </c>
      <c r="C21" s="113"/>
      <c r="D21" s="114"/>
      <c r="E21" s="9">
        <v>0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90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90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2" t="s">
        <v>130</v>
      </c>
      <c r="C24" s="93"/>
      <c r="D24" s="9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208</v>
      </c>
      <c r="C26" s="93"/>
      <c r="D26" s="93"/>
      <c r="E26" s="93"/>
      <c r="F26" s="94"/>
      <c r="G26" s="1"/>
    </row>
    <row r="27" spans="1:7" x14ac:dyDescent="0.25">
      <c r="A27" s="1"/>
      <c r="B27" s="112" t="s">
        <v>207</v>
      </c>
      <c r="C27" s="113"/>
      <c r="D27" s="114"/>
      <c r="E27" s="9">
        <v>0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90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90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2" t="s">
        <v>209</v>
      </c>
      <c r="C30" s="93"/>
      <c r="D30" s="9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211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132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131</v>
      </c>
      <c r="C14" s="93"/>
      <c r="D14" s="93"/>
      <c r="E14" s="93"/>
      <c r="F14" s="94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133</v>
      </c>
      <c r="C20" s="93"/>
      <c r="D20" s="93"/>
      <c r="E20" s="93"/>
      <c r="F20" s="94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227</v>
      </c>
      <c r="C26" s="93"/>
      <c r="D26" s="93"/>
      <c r="E26" s="93"/>
      <c r="F26" s="94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142008284.03104216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392318.598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883706.86482400016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2813130.706057983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-1912907.6729918164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-889405.65902996412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-3094072.7841345803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140201054.0837678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2574819.3035249999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-935611</v>
      </c>
      <c r="D32" s="11" t="s">
        <v>3</v>
      </c>
      <c r="E32" s="1"/>
    </row>
    <row r="33" spans="1:5" x14ac:dyDescent="0.25">
      <c r="A33" s="1"/>
      <c r="B33" s="35" t="s">
        <v>291</v>
      </c>
      <c r="C33" s="32"/>
      <c r="D33" s="20"/>
      <c r="E33" s="1"/>
    </row>
    <row r="34" spans="1:5" x14ac:dyDescent="0.25">
      <c r="A34" s="1"/>
      <c r="B34" s="56" t="s">
        <v>292</v>
      </c>
      <c r="C34" s="10">
        <v>-3792536.8333333302</v>
      </c>
      <c r="D34" s="11" t="s">
        <v>3</v>
      </c>
      <c r="E34" s="1"/>
    </row>
    <row r="35" spans="1:5" x14ac:dyDescent="0.25">
      <c r="A35" s="1"/>
      <c r="B35" s="38" t="s">
        <v>35</v>
      </c>
      <c r="C35" s="34">
        <f>SUM(C32,C30,C28,C24,C22,C20,C34)</f>
        <v>138047725.55395946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188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140201054.0837678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1710452.8598219673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-1858099.7048733046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-882251.27990872716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-2947236.6149625978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136223919.34384516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2606232.0990280048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ht="15" customHeight="1" x14ac:dyDescent="0.25">
      <c r="A27" s="1"/>
      <c r="B27" s="35" t="s">
        <v>291</v>
      </c>
      <c r="C27" s="32"/>
      <c r="D27" s="20"/>
      <c r="E27" s="1"/>
    </row>
    <row r="28" spans="1:5" ht="15" customHeight="1" x14ac:dyDescent="0.25">
      <c r="A28" s="1"/>
      <c r="B28" s="56" t="s">
        <v>292</v>
      </c>
      <c r="C28" s="10">
        <v>-3792536.8333333302</v>
      </c>
      <c r="D28" s="11" t="s">
        <v>3</v>
      </c>
      <c r="E28" s="1"/>
    </row>
    <row r="29" spans="1:5" x14ac:dyDescent="0.25">
      <c r="A29" s="1"/>
      <c r="B29" s="38" t="s">
        <v>36</v>
      </c>
      <c r="C29" s="12">
        <f>SUM(C16,C18,C20,C24,C26,C28)</f>
        <v>135037614.60953981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189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136223919.34384516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1661931.8159949111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-1805390.3088221431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-875154.45061314141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-2901155.0968693499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132304151.30353543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2638028.1306361468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5" t="s">
        <v>291</v>
      </c>
      <c r="C27" s="32"/>
      <c r="D27" s="20"/>
      <c r="E27" s="1"/>
    </row>
    <row r="28" spans="1:5" x14ac:dyDescent="0.25">
      <c r="A28" s="1"/>
      <c r="B28" s="56" t="s">
        <v>292</v>
      </c>
      <c r="C28" s="10">
        <v>-3792536.8333333302</v>
      </c>
      <c r="D28" s="11" t="s">
        <v>3</v>
      </c>
      <c r="E28" s="1"/>
    </row>
    <row r="29" spans="1:5" x14ac:dyDescent="0.25">
      <c r="A29" s="1"/>
      <c r="B29" s="38" t="s">
        <v>124</v>
      </c>
      <c r="C29" s="12">
        <f>SUM(C16,C18,C20,C24,C26,C28)</f>
        <v>131149642.60083826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S77oY13wj1lh3/fYPQTgeZOjD6T6WAMz/Yqevoq1tlL8q9HaJHWCnSKwstOJRvBxxrhQI93ZdWUrY9LgrNuQw==" saltValue="+pSHQVKbzbYqtZxOD69L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132304151.30353543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1614110.6459031324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-1753441.1998338492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-868114.70821240928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-2855794.0863522491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128440911.95504005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2670212.0738299075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291</v>
      </c>
      <c r="C25" s="32"/>
      <c r="D25" s="20"/>
      <c r="E25" s="1"/>
    </row>
    <row r="26" spans="1:5" ht="15" customHeight="1" x14ac:dyDescent="0.25">
      <c r="A26" s="1"/>
      <c r="B26" s="56" t="s">
        <v>292</v>
      </c>
      <c r="C26" s="10">
        <v>-3792536.8333333302</v>
      </c>
      <c r="D26" s="11" t="s">
        <v>3</v>
      </c>
      <c r="E26" s="1"/>
    </row>
    <row r="27" spans="1:5" x14ac:dyDescent="0.25">
      <c r="A27" s="1"/>
      <c r="B27" s="38" t="s">
        <v>193</v>
      </c>
      <c r="C27" s="12">
        <f>SUM(C16,C18,C20,C24,C26)</f>
        <v>127318587.19553663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0" t="s">
        <v>25</v>
      </c>
      <c r="C9" s="81"/>
      <c r="D9" s="82"/>
      <c r="E9" s="7">
        <v>143054259.26536217</v>
      </c>
      <c r="F9" s="8" t="s">
        <v>3</v>
      </c>
      <c r="G9" s="1"/>
    </row>
    <row r="10" spans="1:7" ht="15" customHeight="1" x14ac:dyDescent="0.25">
      <c r="A10" s="1"/>
      <c r="B10" s="83" t="s">
        <v>48</v>
      </c>
      <c r="C10" s="84"/>
      <c r="D10" s="90"/>
      <c r="E10" s="7">
        <v>107564.0742</v>
      </c>
      <c r="F10" s="8" t="s">
        <v>3</v>
      </c>
      <c r="G10" s="1"/>
    </row>
    <row r="11" spans="1:7" ht="15" customHeight="1" x14ac:dyDescent="0.25">
      <c r="A11" s="1"/>
      <c r="B11" s="83" t="s">
        <v>49</v>
      </c>
      <c r="C11" s="84"/>
      <c r="D11" s="90"/>
      <c r="E11" s="9">
        <v>1905709.0908240003</v>
      </c>
      <c r="F11" s="8" t="s">
        <v>3</v>
      </c>
      <c r="G11" s="1"/>
    </row>
    <row r="12" spans="1:7" ht="15" customHeight="1" x14ac:dyDescent="0.25">
      <c r="A12" s="1"/>
      <c r="B12" s="83" t="s">
        <v>32</v>
      </c>
      <c r="C12" s="84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31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34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33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20</v>
      </c>
      <c r="C16" s="81"/>
      <c r="D16" s="82"/>
      <c r="E16" s="9">
        <f>SUM(E9:E15)*'Fane 14. Nøgletal'!C12</f>
        <v>2857830.3888786077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krav'!G11</f>
        <v>-1936841.3380812742</v>
      </c>
      <c r="F17" s="8" t="s">
        <v>3</v>
      </c>
      <c r="G17" s="1"/>
    </row>
    <row r="18" spans="1:7" ht="15" customHeight="1" x14ac:dyDescent="0.25">
      <c r="A18" s="1"/>
      <c r="B18" s="80" t="s">
        <v>29</v>
      </c>
      <c r="C18" s="81"/>
      <c r="D18" s="82"/>
      <c r="E18" s="9">
        <f>-'Fane 4.1. Gen. krav - drift'!G28</f>
        <v>-882075.72188303876</v>
      </c>
      <c r="F18" s="8" t="s">
        <v>3</v>
      </c>
      <c r="G18" s="1"/>
    </row>
    <row r="19" spans="1:7" ht="15" customHeight="1" x14ac:dyDescent="0.25">
      <c r="A19" s="1"/>
      <c r="B19" s="80" t="s">
        <v>30</v>
      </c>
      <c r="C19" s="81"/>
      <c r="D19" s="82"/>
      <c r="E19" s="9">
        <f>-'Fane 4.2. Gen. krav - anlæg'!G25</f>
        <v>-3098161.7282583453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142008284.03104216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91"/>
      <c r="E22" s="10">
        <v>6751209.9357063901</v>
      </c>
      <c r="F22" s="11" t="s">
        <v>3</v>
      </c>
      <c r="G22" s="1"/>
    </row>
    <row r="23" spans="1:7" ht="15" customHeight="1" x14ac:dyDescent="0.25">
      <c r="A23" s="1"/>
      <c r="B23" s="92" t="s">
        <v>114</v>
      </c>
      <c r="C23" s="93"/>
      <c r="D23" s="94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3" t="s">
        <v>109</v>
      </c>
      <c r="C26" s="84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3" t="s">
        <v>110</v>
      </c>
      <c r="C27" s="84"/>
      <c r="D27" s="84"/>
      <c r="E27" s="9">
        <v>0</v>
      </c>
      <c r="F27" s="8" t="s">
        <v>3</v>
      </c>
      <c r="G27" s="1"/>
    </row>
    <row r="28" spans="1:7" ht="15" customHeight="1" x14ac:dyDescent="0.25">
      <c r="A28" s="1"/>
      <c r="B28" s="85" t="s">
        <v>115</v>
      </c>
      <c r="C28" s="86"/>
      <c r="D28" s="86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91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148759493.96674854</v>
      </c>
      <c r="F35" s="13" t="s">
        <v>3</v>
      </c>
      <c r="G35" s="1"/>
    </row>
    <row r="36" spans="1:7" ht="27" customHeight="1" x14ac:dyDescent="0.25">
      <c r="A36" s="1"/>
      <c r="B36" s="80" t="s">
        <v>218</v>
      </c>
      <c r="C36" s="81"/>
      <c r="D36" s="81"/>
      <c r="E36" s="81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2" t="s">
        <v>67</v>
      </c>
      <c r="C5" s="93"/>
      <c r="D5" s="93"/>
      <c r="E5" s="93"/>
      <c r="F5" s="93"/>
      <c r="G5" s="93"/>
      <c r="H5" s="94"/>
      <c r="I5" s="1"/>
    </row>
    <row r="6" spans="1:9" x14ac:dyDescent="0.25">
      <c r="A6" s="1"/>
      <c r="B6" s="95" t="s">
        <v>56</v>
      </c>
      <c r="C6" s="96"/>
      <c r="D6" s="96"/>
      <c r="E6" s="96"/>
      <c r="F6" s="97"/>
      <c r="G6" s="24">
        <v>44276674</v>
      </c>
      <c r="H6" s="14" t="s">
        <v>3</v>
      </c>
      <c r="I6" s="1"/>
    </row>
    <row r="7" spans="1:9" x14ac:dyDescent="0.25">
      <c r="A7" s="1"/>
      <c r="B7" s="80" t="s">
        <v>181</v>
      </c>
      <c r="C7" s="81"/>
      <c r="D7" s="81"/>
      <c r="E7" s="81"/>
      <c r="F7" s="82"/>
      <c r="G7" s="24">
        <v>0</v>
      </c>
      <c r="H7" s="14" t="s">
        <v>3</v>
      </c>
      <c r="I7" s="1"/>
    </row>
    <row r="8" spans="1:9" x14ac:dyDescent="0.25">
      <c r="A8" s="1"/>
      <c r="B8" s="95" t="s">
        <v>57</v>
      </c>
      <c r="C8" s="96"/>
      <c r="D8" s="96"/>
      <c r="E8" s="96"/>
      <c r="F8" s="97"/>
      <c r="G8" s="24">
        <f>SUM(G6:G7)*'Fane 14. Nøgletal'!C27</f>
        <v>885533.48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2" t="s">
        <v>68</v>
      </c>
      <c r="C11" s="93"/>
      <c r="D11" s="93"/>
      <c r="E11" s="93"/>
      <c r="F11" s="93"/>
      <c r="G11" s="93"/>
      <c r="H11" s="94"/>
      <c r="I11" s="1"/>
    </row>
    <row r="12" spans="1:9" x14ac:dyDescent="0.25">
      <c r="A12" s="1"/>
      <c r="B12" s="95" t="s">
        <v>58</v>
      </c>
      <c r="C12" s="96"/>
      <c r="D12" s="96"/>
      <c r="E12" s="96"/>
      <c r="F12" s="97"/>
      <c r="G12" s="24">
        <f>(G6-G8)*(1+'Fane 14. Nøgletal'!C10)</f>
        <v>44150485.479100004</v>
      </c>
      <c r="H12" s="14" t="s">
        <v>3</v>
      </c>
      <c r="I12" s="1"/>
    </row>
    <row r="13" spans="1:9" ht="15" customHeight="1" x14ac:dyDescent="0.25">
      <c r="A13" s="1"/>
      <c r="B13" s="95" t="s">
        <v>182</v>
      </c>
      <c r="C13" s="96"/>
      <c r="D13" s="96"/>
      <c r="E13" s="96"/>
      <c r="F13" s="97"/>
      <c r="G13" s="24">
        <v>-0.4778095163777471</v>
      </c>
      <c r="H13" s="14" t="s">
        <v>3</v>
      </c>
      <c r="I13" s="1"/>
    </row>
    <row r="14" spans="1:9" x14ac:dyDescent="0.25">
      <c r="A14" s="1"/>
      <c r="B14" s="80" t="s">
        <v>179</v>
      </c>
      <c r="C14" s="81"/>
      <c r="D14" s="81"/>
      <c r="E14" s="81"/>
      <c r="F14" s="82"/>
      <c r="G14" s="24">
        <v>0</v>
      </c>
      <c r="H14" s="14" t="s">
        <v>3</v>
      </c>
      <c r="I14" s="1"/>
    </row>
    <row r="15" spans="1:9" x14ac:dyDescent="0.25">
      <c r="A15" s="1"/>
      <c r="B15" s="98" t="s">
        <v>59</v>
      </c>
      <c r="C15" s="99"/>
      <c r="D15" s="99"/>
      <c r="E15" s="99"/>
      <c r="F15" s="100"/>
      <c r="G15" s="24">
        <v>0</v>
      </c>
      <c r="H15" s="14" t="s">
        <v>3</v>
      </c>
      <c r="I15" s="1"/>
    </row>
    <row r="16" spans="1:9" x14ac:dyDescent="0.25">
      <c r="A16" s="1"/>
      <c r="B16" s="95" t="s">
        <v>60</v>
      </c>
      <c r="C16" s="96"/>
      <c r="D16" s="96"/>
      <c r="E16" s="96"/>
      <c r="F16" s="97"/>
      <c r="G16" s="24">
        <f>SUM(G12:G15)*'Fane 14. Nøgletal'!C27</f>
        <v>883009.7000258097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2" t="s">
        <v>69</v>
      </c>
      <c r="C19" s="93"/>
      <c r="D19" s="93"/>
      <c r="E19" s="93"/>
      <c r="F19" s="93"/>
      <c r="G19" s="93"/>
      <c r="H19" s="94"/>
      <c r="I19" s="1"/>
    </row>
    <row r="20" spans="1:9" x14ac:dyDescent="0.25">
      <c r="A20" s="1"/>
      <c r="B20" s="95" t="s">
        <v>61</v>
      </c>
      <c r="C20" s="96"/>
      <c r="D20" s="96"/>
      <c r="E20" s="96"/>
      <c r="F20" s="97"/>
      <c r="G20" s="24">
        <f>(SUM(G12:G13,G15)-(G16))*(1+'Fane 14. Nøgletal'!C10)</f>
        <v>44024656.119036809</v>
      </c>
      <c r="H20" s="14" t="s">
        <v>3</v>
      </c>
      <c r="I20" s="1"/>
    </row>
    <row r="21" spans="1:9" x14ac:dyDescent="0.25">
      <c r="A21" s="1"/>
      <c r="B21" s="98" t="s">
        <v>62</v>
      </c>
      <c r="C21" s="99"/>
      <c r="D21" s="99"/>
      <c r="E21" s="99"/>
      <c r="F21" s="100"/>
      <c r="G21" s="24">
        <v>0</v>
      </c>
      <c r="H21" s="14" t="s">
        <v>3</v>
      </c>
      <c r="I21" s="1"/>
    </row>
    <row r="22" spans="1:9" x14ac:dyDescent="0.25">
      <c r="A22" s="1"/>
      <c r="B22" s="95" t="s">
        <v>63</v>
      </c>
      <c r="C22" s="96"/>
      <c r="D22" s="96"/>
      <c r="E22" s="96"/>
      <c r="F22" s="97"/>
      <c r="G22" s="24">
        <f>SUM(G20:G21)*'Fane 14. Nøgletal'!C27</f>
        <v>880493.12238073617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2" t="s">
        <v>70</v>
      </c>
      <c r="C25" s="93"/>
      <c r="D25" s="93"/>
      <c r="E25" s="93"/>
      <c r="F25" s="93"/>
      <c r="G25" s="93"/>
      <c r="H25" s="94"/>
      <c r="I25" s="1"/>
    </row>
    <row r="26" spans="1:9" x14ac:dyDescent="0.25">
      <c r="A26" s="1"/>
      <c r="B26" s="95" t="s">
        <v>64</v>
      </c>
      <c r="C26" s="96"/>
      <c r="D26" s="96"/>
      <c r="E26" s="96"/>
      <c r="F26" s="97"/>
      <c r="G26" s="24">
        <f>(G20+G21-G22)*(1+'Fane 14. Nøgletal'!C12)</f>
        <v>43994103.007690199</v>
      </c>
      <c r="H26" s="14" t="s">
        <v>3</v>
      </c>
      <c r="I26" s="1"/>
    </row>
    <row r="27" spans="1:9" x14ac:dyDescent="0.25">
      <c r="A27" s="1"/>
      <c r="B27" s="98" t="s">
        <v>65</v>
      </c>
      <c r="C27" s="99"/>
      <c r="D27" s="99"/>
      <c r="E27" s="99"/>
      <c r="F27" s="100"/>
      <c r="G27" s="24">
        <v>109683.08646174001</v>
      </c>
      <c r="H27" s="14" t="s">
        <v>3</v>
      </c>
      <c r="I27" s="1"/>
    </row>
    <row r="28" spans="1:9" x14ac:dyDescent="0.25">
      <c r="A28" s="1"/>
      <c r="B28" s="95" t="s">
        <v>66</v>
      </c>
      <c r="C28" s="96"/>
      <c r="D28" s="96"/>
      <c r="E28" s="96"/>
      <c r="F28" s="97"/>
      <c r="G28" s="24">
        <f>(G26+G27)*'Fane 14. Nøgletal'!C27</f>
        <v>882075.72188303876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2" t="s">
        <v>73</v>
      </c>
      <c r="C31" s="93"/>
      <c r="D31" s="93"/>
      <c r="E31" s="93"/>
      <c r="F31" s="93"/>
      <c r="G31" s="93"/>
      <c r="H31" s="94"/>
      <c r="I31" s="1"/>
    </row>
    <row r="32" spans="1:9" x14ac:dyDescent="0.25">
      <c r="A32" s="1"/>
      <c r="B32" s="95" t="s">
        <v>74</v>
      </c>
      <c r="C32" s="96"/>
      <c r="D32" s="96"/>
      <c r="E32" s="96"/>
      <c r="F32" s="97"/>
      <c r="G32" s="24">
        <f>(G26+G27-G28)*(1+'Fane 14. Nøgletal'!C12)</f>
        <v>44073178.066602603</v>
      </c>
      <c r="H32" s="14" t="s">
        <v>3</v>
      </c>
      <c r="I32" s="1"/>
    </row>
    <row r="33" spans="1:9" x14ac:dyDescent="0.25">
      <c r="A33" s="1"/>
      <c r="B33" s="95" t="s">
        <v>230</v>
      </c>
      <c r="C33" s="96"/>
      <c r="D33" s="96"/>
      <c r="E33" s="96"/>
      <c r="F33" s="97"/>
      <c r="G33" s="24">
        <f>SUM('Fane 2.1. Økonomisk ramme 2021'!C10,'Fane 2.1. Økonomisk ramme 2021'!C12,'Fane 2.1. Økonomisk ramme 2021'!C14)*(1+'Fane 14. Nøgletal'!C13)</f>
        <v>397104.88489559997</v>
      </c>
      <c r="H33" s="14" t="s">
        <v>3</v>
      </c>
      <c r="I33" s="1"/>
    </row>
    <row r="34" spans="1:9" x14ac:dyDescent="0.25">
      <c r="A34" s="1"/>
      <c r="B34" s="95" t="s">
        <v>75</v>
      </c>
      <c r="C34" s="96"/>
      <c r="D34" s="96"/>
      <c r="E34" s="96"/>
      <c r="F34" s="97"/>
      <c r="G34" s="24">
        <f>(G32+G33)*'Fane 14. Nøgletal'!C27</f>
        <v>889405.65902996412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2" t="s">
        <v>100</v>
      </c>
      <c r="C37" s="93"/>
      <c r="D37" s="93"/>
      <c r="E37" s="93"/>
      <c r="F37" s="93"/>
      <c r="G37" s="93"/>
      <c r="H37" s="94"/>
      <c r="I37" s="1"/>
    </row>
    <row r="38" spans="1:9" x14ac:dyDescent="0.25">
      <c r="A38" s="1"/>
      <c r="B38" s="95" t="s">
        <v>99</v>
      </c>
      <c r="C38" s="96"/>
      <c r="D38" s="96"/>
      <c r="E38" s="96"/>
      <c r="F38" s="97"/>
      <c r="G38" s="24">
        <f>(G32+G33-G34)*(1+'Fane 14. Nøgletal'!C13)</f>
        <v>44112563.995436355</v>
      </c>
      <c r="H38" s="14" t="s">
        <v>3</v>
      </c>
      <c r="I38" s="1"/>
    </row>
    <row r="39" spans="1:9" x14ac:dyDescent="0.25">
      <c r="A39" s="1"/>
      <c r="B39" s="95" t="s">
        <v>117</v>
      </c>
      <c r="C39" s="96"/>
      <c r="D39" s="96"/>
      <c r="E39" s="96"/>
      <c r="F39" s="97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5" t="s">
        <v>76</v>
      </c>
      <c r="C40" s="96"/>
      <c r="D40" s="96"/>
      <c r="E40" s="96"/>
      <c r="F40" s="97"/>
      <c r="G40" s="24">
        <f>(G38+G39)*'Fane 14. Nøgletal'!C27</f>
        <v>882251.27990872716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2" t="s">
        <v>101</v>
      </c>
      <c r="C43" s="93"/>
      <c r="D43" s="93"/>
      <c r="E43" s="93"/>
      <c r="F43" s="93"/>
      <c r="G43" s="93"/>
      <c r="H43" s="94"/>
      <c r="I43" s="1"/>
    </row>
    <row r="44" spans="1:9" x14ac:dyDescent="0.25">
      <c r="A44" s="1"/>
      <c r="B44" s="95" t="s">
        <v>98</v>
      </c>
      <c r="C44" s="96"/>
      <c r="D44" s="96"/>
      <c r="E44" s="96"/>
      <c r="F44" s="97"/>
      <c r="G44" s="24">
        <f>(G38+G39-G40)*(1+'Fane 14. Nøgletal'!C13)</f>
        <v>43757722.530657068</v>
      </c>
      <c r="H44" s="14" t="s">
        <v>3</v>
      </c>
      <c r="I44" s="1"/>
    </row>
    <row r="45" spans="1:9" x14ac:dyDescent="0.25">
      <c r="A45" s="1"/>
      <c r="B45" s="95" t="s">
        <v>118</v>
      </c>
      <c r="C45" s="96"/>
      <c r="D45" s="96"/>
      <c r="E45" s="96"/>
      <c r="F45" s="97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5" t="s">
        <v>77</v>
      </c>
      <c r="C46" s="96"/>
      <c r="D46" s="96"/>
      <c r="E46" s="96"/>
      <c r="F46" s="97"/>
      <c r="G46" s="24">
        <f>(G44+G45)*'Fane 14. Nøgletal'!C27</f>
        <v>875154.45061314141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2" t="s">
        <v>231</v>
      </c>
      <c r="C51" s="93"/>
      <c r="D51" s="93"/>
      <c r="E51" s="93"/>
      <c r="F51" s="93"/>
      <c r="G51" s="93"/>
      <c r="H51" s="94"/>
      <c r="I51" s="1"/>
    </row>
    <row r="52" spans="1:9" x14ac:dyDescent="0.25">
      <c r="A52" s="1"/>
      <c r="B52" s="95" t="s">
        <v>232</v>
      </c>
      <c r="C52" s="96"/>
      <c r="D52" s="96"/>
      <c r="E52" s="96"/>
      <c r="F52" s="97"/>
      <c r="G52" s="24">
        <f>(G44+G45-G46)*(1+'Fane 14. Nøgletal'!C13)</f>
        <v>43405735.410620466</v>
      </c>
      <c r="H52" s="14" t="s">
        <v>3</v>
      </c>
      <c r="I52" s="1"/>
    </row>
    <row r="53" spans="1:9" x14ac:dyDescent="0.25">
      <c r="A53" s="1"/>
      <c r="B53" s="95" t="s">
        <v>233</v>
      </c>
      <c r="C53" s="96"/>
      <c r="D53" s="96"/>
      <c r="E53" s="96"/>
      <c r="F53" s="97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5" t="s">
        <v>234</v>
      </c>
      <c r="C54" s="96"/>
      <c r="D54" s="96"/>
      <c r="E54" s="96"/>
      <c r="F54" s="97"/>
      <c r="G54" s="24">
        <f>(G52+G53)*'Fane 14. Nøgletal'!C27</f>
        <v>868114.70821240928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1.28515625" style="2" customWidth="1"/>
    <col min="7" max="7" width="11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1" t="s">
        <v>164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2" t="s">
        <v>71</v>
      </c>
      <c r="C4" s="93"/>
      <c r="D4" s="93"/>
      <c r="E4" s="93"/>
      <c r="F4" s="93"/>
      <c r="G4" s="93"/>
      <c r="H4" s="94"/>
      <c r="I4" s="1"/>
    </row>
    <row r="5" spans="1:9" x14ac:dyDescent="0.25">
      <c r="A5" s="1"/>
      <c r="B5" s="95" t="s">
        <v>78</v>
      </c>
      <c r="C5" s="96"/>
      <c r="D5" s="96"/>
      <c r="E5" s="96"/>
      <c r="F5" s="97"/>
      <c r="G5" s="24">
        <v>104948670</v>
      </c>
      <c r="H5" s="14" t="s">
        <v>3</v>
      </c>
      <c r="I5" s="1"/>
    </row>
    <row r="6" spans="1:9" x14ac:dyDescent="0.25">
      <c r="A6" s="1"/>
      <c r="B6" s="95" t="s">
        <v>72</v>
      </c>
      <c r="C6" s="96"/>
      <c r="D6" s="96"/>
      <c r="E6" s="96"/>
      <c r="F6" s="97"/>
      <c r="G6" s="24">
        <f>G5*'Fane 14. Nøgletal'!C18</f>
        <v>955032.897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2" t="s">
        <v>79</v>
      </c>
      <c r="C9" s="93"/>
      <c r="D9" s="93"/>
      <c r="E9" s="93"/>
      <c r="F9" s="93"/>
      <c r="G9" s="93"/>
      <c r="H9" s="94"/>
      <c r="I9" s="1"/>
    </row>
    <row r="10" spans="1:9" x14ac:dyDescent="0.25">
      <c r="A10" s="1"/>
      <c r="B10" s="95" t="s">
        <v>80</v>
      </c>
      <c r="C10" s="96"/>
      <c r="D10" s="96"/>
      <c r="E10" s="96"/>
      <c r="F10" s="97"/>
      <c r="G10" s="24">
        <f>(G5-G6)*(1+'Fane 14. Nøgletal'!C10)</f>
        <v>105813525.75230251</v>
      </c>
      <c r="H10" s="14" t="s">
        <v>3</v>
      </c>
      <c r="I10" s="1"/>
    </row>
    <row r="11" spans="1:9" x14ac:dyDescent="0.25">
      <c r="A11" s="1"/>
      <c r="B11" s="95" t="s">
        <v>183</v>
      </c>
      <c r="C11" s="96"/>
      <c r="D11" s="96"/>
      <c r="E11" s="96"/>
      <c r="F11" s="97"/>
      <c r="G11" s="24">
        <v>406478.69199705572</v>
      </c>
      <c r="H11" s="14" t="s">
        <v>3</v>
      </c>
      <c r="I11" s="1"/>
    </row>
    <row r="12" spans="1:9" x14ac:dyDescent="0.25">
      <c r="A12" s="1"/>
      <c r="B12" s="98" t="s">
        <v>81</v>
      </c>
      <c r="C12" s="99"/>
      <c r="D12" s="99"/>
      <c r="E12" s="99"/>
      <c r="F12" s="100"/>
      <c r="G12" s="24">
        <v>0</v>
      </c>
      <c r="H12" s="14" t="s">
        <v>3</v>
      </c>
      <c r="I12" s="1"/>
    </row>
    <row r="13" spans="1:9" x14ac:dyDescent="0.25">
      <c r="A13" s="1"/>
      <c r="B13" s="95" t="s">
        <v>82</v>
      </c>
      <c r="C13" s="96"/>
      <c r="D13" s="96"/>
      <c r="E13" s="96"/>
      <c r="F13" s="97"/>
      <c r="G13" s="24">
        <f>SUM(G10:G12)*'Fane 14. Nøgletal'!C19</f>
        <v>1880094.0786641024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2" t="s">
        <v>83</v>
      </c>
      <c r="C16" s="93"/>
      <c r="D16" s="93"/>
      <c r="E16" s="93"/>
      <c r="F16" s="93"/>
      <c r="G16" s="93"/>
      <c r="H16" s="94"/>
      <c r="I16" s="1"/>
    </row>
    <row r="17" spans="1:9" x14ac:dyDescent="0.25">
      <c r="A17" s="1"/>
      <c r="B17" s="95" t="s">
        <v>84</v>
      </c>
      <c r="C17" s="96"/>
      <c r="D17" s="96"/>
      <c r="E17" s="96"/>
      <c r="F17" s="97"/>
      <c r="G17" s="24">
        <f>(SUM(G10:G12)-G13)*(1+'Fane 14. Nøgletal'!C10)</f>
        <v>106165858.79703408</v>
      </c>
      <c r="H17" s="14" t="s">
        <v>3</v>
      </c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24">
        <v>797146.60826630984</v>
      </c>
      <c r="H18" s="14" t="s">
        <v>3</v>
      </c>
      <c r="I18" s="1"/>
    </row>
    <row r="19" spans="1:9" x14ac:dyDescent="0.25">
      <c r="A19" s="1"/>
      <c r="B19" s="95" t="s">
        <v>86</v>
      </c>
      <c r="C19" s="96"/>
      <c r="D19" s="96"/>
      <c r="E19" s="96"/>
      <c r="F19" s="97"/>
      <c r="G19" s="24">
        <f>G17*'Fane 14. Nøgletal'!C19+G18*'Fane 14. Nøgletal'!C20</f>
        <v>1886070.8761994203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2" t="s">
        <v>87</v>
      </c>
      <c r="C22" s="93"/>
      <c r="D22" s="93"/>
      <c r="E22" s="93"/>
      <c r="F22" s="93"/>
      <c r="G22" s="93"/>
      <c r="H22" s="94"/>
      <c r="I22" s="1"/>
    </row>
    <row r="23" spans="1:9" x14ac:dyDescent="0.25">
      <c r="A23" s="1"/>
      <c r="B23" s="95" t="s">
        <v>88</v>
      </c>
      <c r="C23" s="96"/>
      <c r="D23" s="96"/>
      <c r="E23" s="96"/>
      <c r="F23" s="97"/>
      <c r="G23" s="24">
        <f>(G17+G18-G19)*(1+'Fane 14. Nøgletal'!C12)</f>
        <v>107146950.13932426</v>
      </c>
      <c r="H23" s="14" t="s">
        <v>3</v>
      </c>
      <c r="I23" s="1"/>
    </row>
    <row r="24" spans="1:9" x14ac:dyDescent="0.25">
      <c r="A24" s="1"/>
      <c r="B24" s="98" t="s">
        <v>89</v>
      </c>
      <c r="C24" s="99"/>
      <c r="D24" s="99"/>
      <c r="E24" s="99"/>
      <c r="F24" s="100"/>
      <c r="G24" s="24">
        <v>1943251.5599132332</v>
      </c>
      <c r="H24" s="14" t="s">
        <v>3</v>
      </c>
      <c r="I24" s="1"/>
    </row>
    <row r="25" spans="1:9" x14ac:dyDescent="0.25">
      <c r="A25" s="1"/>
      <c r="B25" s="95" t="s">
        <v>90</v>
      </c>
      <c r="C25" s="96"/>
      <c r="D25" s="96"/>
      <c r="E25" s="96"/>
      <c r="F25" s="97"/>
      <c r="G25" s="24">
        <f>(G23+G24)*'Fane 14. Nøgletal'!C21</f>
        <v>3098161.7282583453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2" t="s">
        <v>91</v>
      </c>
      <c r="C28" s="93"/>
      <c r="D28" s="93"/>
      <c r="E28" s="93"/>
      <c r="F28" s="93"/>
      <c r="G28" s="93"/>
      <c r="H28" s="94"/>
      <c r="I28" s="1"/>
    </row>
    <row r="29" spans="1:9" x14ac:dyDescent="0.25">
      <c r="A29" s="1"/>
      <c r="B29" s="95" t="s">
        <v>92</v>
      </c>
      <c r="C29" s="96"/>
      <c r="D29" s="96"/>
      <c r="E29" s="96"/>
      <c r="F29" s="97"/>
      <c r="G29" s="24">
        <f>(G23+G24-G25)*(1+'Fane 14. Nøgletal'!C12)</f>
        <v>108080083.15840745</v>
      </c>
      <c r="H29" s="14" t="s">
        <v>3</v>
      </c>
      <c r="I29" s="1"/>
    </row>
    <row r="30" spans="1:9" x14ac:dyDescent="0.25">
      <c r="A30" s="1"/>
      <c r="B30" s="95" t="s">
        <v>235</v>
      </c>
      <c r="C30" s="96"/>
      <c r="D30" s="96"/>
      <c r="E30" s="96"/>
      <c r="F30" s="97"/>
      <c r="G30" s="24">
        <f>SUM('Fane 2.1. Økonomisk ramme 2021'!C11,'Fane 2.1. Økonomisk ramme 2021'!C13,'Fane 2.1. Økonomisk ramme 2021'!C15)*(1+'Fane 14. Nøgletal'!C13)</f>
        <v>894488.08857485291</v>
      </c>
      <c r="H30" s="14" t="s">
        <v>3</v>
      </c>
      <c r="I30" s="1"/>
    </row>
    <row r="31" spans="1:9" x14ac:dyDescent="0.25">
      <c r="A31" s="1"/>
      <c r="B31" s="95" t="s">
        <v>93</v>
      </c>
      <c r="C31" s="96"/>
      <c r="D31" s="96"/>
      <c r="E31" s="96"/>
      <c r="F31" s="97"/>
      <c r="G31" s="24">
        <f>G29*'Fane 14. Nøgletal'!C21+G30*'Fane 14. Nøgletal'!C22</f>
        <v>3094072.7841345803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2" t="s">
        <v>102</v>
      </c>
      <c r="C34" s="93"/>
      <c r="D34" s="93"/>
      <c r="E34" s="93"/>
      <c r="F34" s="93"/>
      <c r="G34" s="93"/>
      <c r="H34" s="94"/>
      <c r="I34" s="1"/>
    </row>
    <row r="35" spans="1:9" x14ac:dyDescent="0.25">
      <c r="A35" s="1"/>
      <c r="B35" s="95" t="s">
        <v>97</v>
      </c>
      <c r="C35" s="96"/>
      <c r="D35" s="96"/>
      <c r="E35" s="96"/>
      <c r="F35" s="97"/>
      <c r="G35" s="24">
        <f>(G29+G30-G31)*(1+'Fane 14. Nøgletal'!C13)</f>
        <v>107172240.54409446</v>
      </c>
      <c r="H35" s="14" t="s">
        <v>3</v>
      </c>
      <c r="I35" s="1"/>
    </row>
    <row r="36" spans="1:9" x14ac:dyDescent="0.25">
      <c r="A36" s="1"/>
      <c r="B36" s="95" t="s">
        <v>122</v>
      </c>
      <c r="C36" s="96"/>
      <c r="D36" s="96"/>
      <c r="E36" s="96"/>
      <c r="F36" s="97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5" t="s">
        <v>94</v>
      </c>
      <c r="C37" s="96"/>
      <c r="D37" s="96"/>
      <c r="E37" s="96"/>
      <c r="F37" s="97"/>
      <c r="G37" s="24">
        <f>(G35+G36)*'Fane 14. Nøgletal'!C22</f>
        <v>2947236.6149625978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2" t="s">
        <v>103</v>
      </c>
      <c r="C40" s="93"/>
      <c r="D40" s="93"/>
      <c r="E40" s="93"/>
      <c r="F40" s="93"/>
      <c r="G40" s="93"/>
      <c r="H40" s="94"/>
      <c r="I40" s="1"/>
    </row>
    <row r="41" spans="1:9" x14ac:dyDescent="0.25">
      <c r="A41" s="1"/>
      <c r="B41" s="95" t="s">
        <v>96</v>
      </c>
      <c r="C41" s="96"/>
      <c r="D41" s="96"/>
      <c r="E41" s="96"/>
      <c r="F41" s="97"/>
      <c r="G41" s="24">
        <f>(G35+G36-G37)*(1+'Fane 14. Nøgletal'!C13)</f>
        <v>105496548.97706728</v>
      </c>
      <c r="H41" s="14" t="s">
        <v>3</v>
      </c>
      <c r="I41" s="1"/>
    </row>
    <row r="42" spans="1:9" x14ac:dyDescent="0.25">
      <c r="A42" s="1"/>
      <c r="B42" s="95" t="s">
        <v>123</v>
      </c>
      <c r="C42" s="96"/>
      <c r="D42" s="96"/>
      <c r="E42" s="96"/>
      <c r="F42" s="97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5" t="s">
        <v>95</v>
      </c>
      <c r="C43" s="96"/>
      <c r="D43" s="96"/>
      <c r="E43" s="96"/>
      <c r="F43" s="97"/>
      <c r="G43" s="24">
        <f>(G41+G42)*'Fane 14. Nøgletal'!C22</f>
        <v>2901155.0968693499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2" t="s">
        <v>240</v>
      </c>
      <c r="C46" s="93"/>
      <c r="D46" s="93"/>
      <c r="E46" s="93"/>
      <c r="F46" s="93"/>
      <c r="G46" s="93"/>
      <c r="H46" s="94"/>
      <c r="I46" s="1"/>
    </row>
    <row r="47" spans="1:9" x14ac:dyDescent="0.25">
      <c r="A47" s="1"/>
      <c r="B47" s="95" t="s">
        <v>241</v>
      </c>
      <c r="C47" s="96"/>
      <c r="D47" s="96"/>
      <c r="E47" s="96"/>
      <c r="F47" s="97"/>
      <c r="G47" s="24">
        <f>(G41+G42-G43)*(1+'Fane 14. Nøgletal'!C13)</f>
        <v>103847057.68553634</v>
      </c>
      <c r="H47" s="14" t="s">
        <v>3</v>
      </c>
      <c r="I47" s="1"/>
    </row>
    <row r="48" spans="1:9" x14ac:dyDescent="0.25">
      <c r="A48" s="1"/>
      <c r="B48" s="95" t="s">
        <v>242</v>
      </c>
      <c r="C48" s="96"/>
      <c r="D48" s="96"/>
      <c r="E48" s="96"/>
      <c r="F48" s="97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5" t="s">
        <v>243</v>
      </c>
      <c r="C49" s="96"/>
      <c r="D49" s="96"/>
      <c r="E49" s="96"/>
      <c r="F49" s="97"/>
      <c r="G49" s="24">
        <f>(G47+G48)*'Fane 14. Nøgletal'!C22</f>
        <v>2855794.0863522491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DjNfwRQQZQDFaBKFe6KBXzepM+fmn6ymbGgOUOubUmUFSvJgDhB1ckQOWhRRC40VqjunsUln+DtZunXsLfDowA==" saltValue="UgUS4/KwOz1mVe8GB511Mg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104</v>
      </c>
      <c r="C9" s="96"/>
      <c r="D9" s="96"/>
      <c r="E9" s="96"/>
      <c r="F9" s="97"/>
      <c r="G9" s="23">
        <v>7.5717158654086303E-4</v>
      </c>
      <c r="H9" s="14"/>
      <c r="I9" s="1"/>
    </row>
    <row r="10" spans="1:9" x14ac:dyDescent="0.25">
      <c r="A10" s="1"/>
      <c r="B10" s="95" t="s">
        <v>105</v>
      </c>
      <c r="C10" s="96"/>
      <c r="D10" s="96"/>
      <c r="E10" s="96"/>
      <c r="F10" s="97"/>
      <c r="G10" s="23">
        <v>1.6766227488574311E-2</v>
      </c>
      <c r="H10" s="14"/>
      <c r="I10" s="1"/>
    </row>
    <row r="11" spans="1:9" x14ac:dyDescent="0.25">
      <c r="A11" s="1"/>
      <c r="B11" s="95" t="s">
        <v>106</v>
      </c>
      <c r="C11" s="96"/>
      <c r="D11" s="96"/>
      <c r="E11" s="96"/>
      <c r="F11" s="97"/>
      <c r="G11" s="41">
        <v>1.3093368852829563E-2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0" t="s">
        <v>258</v>
      </c>
      <c r="C13" s="81"/>
      <c r="D13" s="81"/>
      <c r="E13" s="81"/>
      <c r="F13" s="81"/>
      <c r="G13" s="81"/>
      <c r="H13" s="82"/>
      <c r="I13" s="1"/>
    </row>
    <row r="14" spans="1:9" ht="14.25" customHeight="1" x14ac:dyDescent="0.25">
      <c r="A14" s="18"/>
      <c r="B14" s="103"/>
      <c r="C14" s="103"/>
      <c r="D14" s="103"/>
      <c r="E14" s="103"/>
      <c r="F14" s="103"/>
      <c r="G14" s="103"/>
      <c r="H14" s="103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2020-09-15T12:48:16Z</dcterms:modified>
</cp:coreProperties>
</file>