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HOFOR Vand Brøndby AS (V087)\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4" i="19"/>
  <c r="C15"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<sst xmlns="http://schemas.openxmlformats.org/spreadsheetml/2006/main" count="509" uniqueCount="254">
  <si>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</si>
  <si>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</si>
  <si>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</si>
  <si>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</si>
  <si>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</si>
  <si>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</si>
  <si>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</si>
  <si>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</si>
  <si>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</si>
  <si>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</si>
  <si>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</si>
  <si>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</si>
  <si>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</si>
  <si>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</si>
  <si>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</si>
  <si>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</si>
  <si>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</si>
  <si>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</si>
  <si>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</si>
  <si>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</si>
  <si>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</si>
  <si>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</si>
  <si>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</si>
  <si>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</si>
  <si>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</si>
  <si>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</si>
  <si>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</si>
  <si>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</si>
  <si>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</si>
  <si>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</si>
  <si>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</si>
  <si>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</si>
  <si>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</si>
  <si>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</si>
  <si>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</si>
  <si>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</si>
  <si>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</si>
  <si>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</si>
  <si>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</si>
  <si>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</si>
  <si>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</si>
  <si>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</si>
  <si>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</si>
  <si>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</si>
  <si>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</si>
  <si>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</si>
  <si>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</si>
  <si>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</si>
  <si>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</si>
  <si>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</si>
  <si>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</si>
  <si>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</si>
  <si>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</si>
  <si>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</si>
  <si>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</si>
  <si>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</si>
  <si>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</si>
  <si>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</si>
  <si>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</si>
  <si>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</si>
  <si>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</si>
  <si>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</si>
  <si>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</si>
  <si>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</si>
  <si>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</si>
  <si>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</si>
  <si>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</si>
  <si>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</si>
  <si>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</si>
  <si>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</si>
  <si>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</si>
  <si>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</si>
  <si>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</si>
  <si>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</si>
  <si>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</si>
  <si>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</si>
  <si>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</si>
  <si>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</si>
  <si>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</si>
  <si>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</si>
  <si>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</si>
  <si>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</si>
  <si>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</si>
  <si>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</si>
  <si>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</si>
  <si>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</si>
  <si>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</si>
  <si>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</si>
  <si>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</si>
  <si>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</si>
  <si>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</si>
  <si>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</si>
  <si>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</si>
  <si>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</si>
  <si>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</si>
  <si>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</si>
  <si>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</si>
  <si>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</si>
  <si>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</si>
  <si>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</si>
  <si>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</si>
  <si>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</si>
  <si>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</si>
  <si>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</si>
  <si>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</si>
  <si>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</si>
  <si>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</si>
  <si>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</si>
  <si>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</si>
  <si>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</si>
  <si>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</si>
  <si>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</si>
  <si>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</si>
  <si>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</si>
  <si>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</si>
  <si>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</si>
  <si>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</si>
  <si>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</si>
  <si>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</si>
  <si>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</si>
  <si>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</si>
  <si>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</si>
  <si>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</si>
  <si>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</si>
  <si>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</si>
  <si>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</si>
  <si>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</si>
  <si>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</si>
  <si>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</si>
  <si>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</si>
  <si>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</si>
  <si>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</si>
  <si>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</si>
  <si>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</si>
  <si>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</si>
  <si>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</si>
  <si>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</si>
  <si>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</si>
  <si>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</si>
  <si>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</si>
  <si>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</si>
  <si>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</si>
  <si>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</si>
  <si>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</si>
  <si>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</si>
  <si>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</si>
  <si>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</si>
  <si>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</si>
  <si>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</si>
  <si>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</si>
  <si>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</si>
  <si>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</si>
  <si>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</si>
  <si>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</si>
  <si>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</si>
  <si>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</si>
  <si>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</si>
  <si>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</si>
  <si>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</si>
  <si>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</si>
  <si>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</si>
  <si>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</si>
  <si>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</si>
  <si>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</si>
  <si>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</si>
  <si>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</si>
  <si>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</si>
  <si>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</si>
  <si>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</si>
  <si>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</si>
  <si>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</si>
  <si>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</si>
  <si>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</si>
  <si>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</si>
  <si>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</si>
  <si>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</si>
  <si>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</si>
  <si>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</si>
  <si>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</si>
  <si>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</si>
  <si>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</si>
  <si>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</si>
  <si>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</si>
  <si>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</si>
  <si>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</si>
  <si>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</si>
  <si>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</si>
  <si>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</si>
  <si>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</si>
  <si>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</si>
  <si>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</si>
  <si>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</si>
  <si>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</si>
  <si>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</si>
  <si>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</si>
  <si>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</si>
  <si>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</si>
  <si>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</si>
  <si>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</si>
  <si>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</si>
  <si>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</si>
  <si>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</si>
  <si>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</si>
  <si>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</si>
  <si>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</si>
  <si>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</si>
  <si>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</si>
  <si>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</si>
  <si>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</si>
  <si>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</si>
  <si>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</si>
  <si>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</si>
  <si>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</si>
  <si>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</si>
  <si>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</si>
  <si>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</si>
  <si>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</si>
  <si>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</si>
  <si>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</si>
  <si>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</si>
  <si>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</si>
  <si>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</si>
  <si>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</si>
  <si>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</si>
  <si>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</si>
  <si>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</si>
  <si>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</si>
  <si>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</si>
  <si>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</si>
  <si>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</si>
  <si>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</si>
  <si>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</si>
  <si>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</si>
  <si>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</si>
  <si>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</si>
  <si>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</si>
  <si>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</si>
  <si>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</si>
  <si>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</si>
  <si>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</si>
  <si>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</si>
  <si>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</si>
  <si>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Letbanen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</si>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</sst>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6" fontId="7" fillId="3" borderId="6" xfId="0" applyNumberFormat="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5" t="s">
        <v>194</v>
      </c>
      <c r="E8" s="95"/>
      <c r="F8" s="95"/>
      <c r="G8" s="9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4" t="s">
        <v>5</v>
      </c>
      <c r="E11" s="94"/>
      <c r="F11" s="94"/>
      <c r="G11" s="94"/>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6" t="s">
        <v>86</v>
      </c>
      <c r="E18" s="97"/>
      <c r="F18" s="97"/>
      <c r="G18" s="98"/>
      <c r="H18" s="1"/>
      <c r="I18" s="1"/>
    </row>
    <row r="19" spans="1:9" x14ac:dyDescent="0.25">
      <c r="A19" s="1"/>
      <c r="B19" s="1"/>
      <c r="C19" s="6" t="s">
        <v>95</v>
      </c>
      <c r="D19" s="96" t="s">
        <v>87</v>
      </c>
      <c r="E19" s="97"/>
      <c r="F19" s="97"/>
      <c r="G19" s="98"/>
      <c r="H19" s="1"/>
      <c r="I19" s="1"/>
    </row>
    <row r="20" spans="1:9" x14ac:dyDescent="0.25">
      <c r="A20" s="1"/>
      <c r="B20" s="1"/>
      <c r="C20" s="6" t="s">
        <v>7</v>
      </c>
      <c r="D20" s="96" t="s">
        <v>9</v>
      </c>
      <c r="E20" s="97"/>
      <c r="F20" s="97"/>
      <c r="G20" s="98"/>
      <c r="H20" s="1"/>
      <c r="I20" s="1"/>
    </row>
    <row r="21" spans="1:9" x14ac:dyDescent="0.25">
      <c r="A21" s="1"/>
      <c r="B21" s="1"/>
      <c r="C21" s="6" t="s">
        <v>96</v>
      </c>
      <c r="D21" s="87" t="s">
        <v>11</v>
      </c>
      <c r="E21" s="88"/>
      <c r="F21" s="88"/>
      <c r="G21" s="89"/>
      <c r="H21" s="1"/>
      <c r="I21" s="1"/>
    </row>
    <row r="22" spans="1:9" x14ac:dyDescent="0.25">
      <c r="A22" s="1"/>
      <c r="B22" s="1"/>
      <c r="C22" s="6" t="s">
        <v>78</v>
      </c>
      <c r="D22" s="81" t="s">
        <v>164</v>
      </c>
      <c r="E22" s="82"/>
      <c r="F22" s="82"/>
      <c r="G22" s="83"/>
      <c r="H22" s="1"/>
      <c r="I22" s="1"/>
    </row>
    <row r="23" spans="1:9" x14ac:dyDescent="0.25">
      <c r="A23" s="1"/>
      <c r="B23" s="1"/>
      <c r="C23" s="6" t="s">
        <v>8</v>
      </c>
      <c r="D23" s="81" t="s">
        <v>219</v>
      </c>
      <c r="E23" s="82"/>
      <c r="F23" s="82"/>
      <c r="G23" s="83"/>
      <c r="H23" s="1"/>
      <c r="I23" s="1"/>
    </row>
    <row r="24" spans="1:9" x14ac:dyDescent="0.25">
      <c r="A24" s="1"/>
      <c r="B24" s="1"/>
      <c r="C24" s="6" t="s">
        <v>215</v>
      </c>
      <c r="D24" s="81" t="s">
        <v>205</v>
      </c>
      <c r="E24" s="82"/>
      <c r="F24" s="82"/>
      <c r="G24" s="83"/>
      <c r="H24" s="1"/>
      <c r="I24" s="1"/>
    </row>
    <row r="25" spans="1:9" x14ac:dyDescent="0.25">
      <c r="A25" s="1"/>
      <c r="B25" s="1"/>
      <c r="C25" s="6" t="s">
        <v>216</v>
      </c>
      <c r="D25" s="81" t="s">
        <v>79</v>
      </c>
      <c r="E25" s="82"/>
      <c r="F25" s="82"/>
      <c r="G25" s="83"/>
      <c r="H25" s="1"/>
      <c r="I25" s="1"/>
    </row>
    <row r="26" spans="1:9" x14ac:dyDescent="0.25">
      <c r="A26" s="1"/>
      <c r="B26" s="1"/>
      <c r="C26" s="6" t="s">
        <v>217</v>
      </c>
      <c r="D26" s="81" t="s">
        <v>80</v>
      </c>
      <c r="E26" s="82"/>
      <c r="F26" s="82"/>
      <c r="G26" s="83"/>
      <c r="H26" s="1"/>
      <c r="I26" s="1"/>
    </row>
    <row r="27" spans="1:9" x14ac:dyDescent="0.25">
      <c r="A27" s="1"/>
      <c r="B27" s="1"/>
      <c r="C27" s="6" t="s">
        <v>97</v>
      </c>
      <c r="D27" s="81" t="s">
        <v>111</v>
      </c>
      <c r="E27" s="82"/>
      <c r="F27" s="82"/>
      <c r="G27" s="83"/>
      <c r="H27" s="1"/>
      <c r="I27" s="1"/>
    </row>
    <row r="28" spans="1:9" x14ac:dyDescent="0.25">
      <c r="A28" s="1"/>
      <c r="B28" s="1"/>
      <c r="C28" s="6" t="s">
        <v>91</v>
      </c>
      <c r="D28" s="81" t="s">
        <v>34</v>
      </c>
      <c r="E28" s="82"/>
      <c r="F28" s="82"/>
      <c r="G28" s="83"/>
      <c r="H28" s="1"/>
      <c r="I28" s="1"/>
    </row>
    <row r="29" spans="1:9" x14ac:dyDescent="0.25">
      <c r="A29" s="1"/>
      <c r="B29" s="1"/>
      <c r="C29" s="6" t="s">
        <v>218</v>
      </c>
      <c r="D29" s="84" t="s">
        <v>92</v>
      </c>
      <c r="E29" s="85"/>
      <c r="F29" s="85"/>
      <c r="G29" s="8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GX1IilDsWuF6sbZPel0/4ppbosYEz3B/U+Qzk5+jjyDhWYOPEBhDNIzfcOmEoQ+IJwEBF4FtAUL9el3VHMurrQ==" saltValue="/1JJgqvom5LCMmDvabO1yg=="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49"/>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99" t="s">
        <v>100</v>
      </c>
      <c r="C3" s="99"/>
      <c r="D3" s="99"/>
      <c r="E3" s="1"/>
      <c r="F3" s="1"/>
    </row>
    <row r="4" spans="1:6" ht="15" customHeight="1" x14ac:dyDescent="0.25">
      <c r="A4" s="1"/>
      <c r="B4" s="99"/>
      <c r="C4" s="99"/>
      <c r="D4" s="9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2" t="s">
        <v>181</v>
      </c>
      <c r="C8" s="123"/>
      <c r="D8" s="124"/>
      <c r="E8" s="1"/>
      <c r="F8" s="1"/>
    </row>
    <row r="9" spans="1:6" ht="15" customHeight="1" x14ac:dyDescent="0.25">
      <c r="A9" s="1"/>
      <c r="B9" s="32" t="s">
        <v>30</v>
      </c>
      <c r="C9" s="11" t="s">
        <v>212</v>
      </c>
      <c r="D9" s="11"/>
      <c r="E9" s="1"/>
      <c r="F9" s="1"/>
    </row>
    <row r="10" spans="1:6" x14ac:dyDescent="0.25">
      <c r="A10" s="1"/>
      <c r="B10" s="75" t="s">
        <v>231</v>
      </c>
      <c r="C10" s="9">
        <v>11638876</v>
      </c>
      <c r="D10" s="14" t="s">
        <v>3</v>
      </c>
      <c r="E10" s="1"/>
      <c r="F10" s="1"/>
    </row>
    <row r="11" spans="1:6" x14ac:dyDescent="0.25">
      <c r="A11" s="1"/>
      <c r="B11" s="75" t="s">
        <v>232</v>
      </c>
      <c r="C11" s="9">
        <v>101289</v>
      </c>
      <c r="D11" s="14" t="s">
        <v>3</v>
      </c>
      <c r="E11" s="1"/>
      <c r="F11" s="1"/>
    </row>
    <row r="12" spans="1:6" ht="26.25" x14ac:dyDescent="0.25">
      <c r="A12" s="1"/>
      <c r="B12" s="80" t="s">
        <v>233</v>
      </c>
      <c r="C12" s="9">
        <v>4787934</v>
      </c>
      <c r="D12" s="14" t="s">
        <v>3</v>
      </c>
      <c r="E12" s="1"/>
      <c r="F12" s="1"/>
    </row>
    <row r="13" spans="1:6" x14ac:dyDescent="0.25">
      <c r="A13" s="1"/>
      <c r="B13" s="75" t="s">
        <v>234</v>
      </c>
      <c r="C13" s="9">
        <v>86777</v>
      </c>
      <c r="D13" s="14" t="s">
        <v>3</v>
      </c>
      <c r="E13" s="1"/>
      <c r="F13" s="1"/>
    </row>
    <row r="14" spans="1:6" x14ac:dyDescent="0.25">
      <c r="A14" s="1"/>
      <c r="B14" s="67" t="s">
        <v>182</v>
      </c>
      <c r="C14" s="12">
        <f>SUM(C10:C13)</f>
        <v>16614876</v>
      </c>
      <c r="D14" s="13" t="s">
        <v>3</v>
      </c>
      <c r="E14" s="1"/>
      <c r="F14" s="1"/>
    </row>
    <row r="15" spans="1:6" x14ac:dyDescent="0.25">
      <c r="A15" s="1"/>
      <c r="B15" s="67" t="s">
        <v>183</v>
      </c>
      <c r="C15" s="12">
        <f>C14*(1+'Fane 13. Nøgletal'!C15)^2</f>
        <v>17818912.200447362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sheetData>
  <sheetProtection algorithmName="SHA-512" hashValue="zMK6go2OZU46G4BchlcjeP59XXi/ttxd39Xh/sFZVmr9mIDVtcdNrkOKs44tV7E+54Ud85TW98V34lYSntjHGg==" saltValue="Q/U2CA1zk3p2d0myiQbUHA=="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7" t="s">
        <v>184</v>
      </c>
      <c r="C3" s="107"/>
      <c r="D3" s="107"/>
      <c r="E3" s="107"/>
      <c r="F3" s="107"/>
      <c r="G3" s="1"/>
    </row>
    <row r="4" spans="1:7" ht="15" customHeight="1" x14ac:dyDescent="0.25">
      <c r="A4" s="1"/>
      <c r="B4" s="107"/>
      <c r="C4" s="107"/>
      <c r="D4" s="107"/>
      <c r="E4" s="107"/>
      <c r="F4" s="107"/>
      <c r="G4" s="1"/>
    </row>
    <row r="5" spans="1:7" ht="15" customHeight="1" x14ac:dyDescent="0.25">
      <c r="A5" s="1"/>
      <c r="B5" s="63"/>
      <c r="C5" s="63"/>
      <c r="D5" s="63"/>
      <c r="E5" s="63"/>
      <c r="F5" s="63"/>
      <c r="G5" s="1"/>
    </row>
    <row r="6" spans="1:7" ht="15" customHeight="1" x14ac:dyDescent="0.25">
      <c r="A6" s="1"/>
      <c r="B6" s="63"/>
      <c r="C6" s="63"/>
      <c r="D6" s="63"/>
      <c r="E6" s="63"/>
      <c r="F6" s="63"/>
      <c r="G6" s="1"/>
    </row>
    <row r="7" spans="1:7" x14ac:dyDescent="0.25">
      <c r="A7" s="1"/>
      <c r="B7" s="1"/>
      <c r="C7" s="1"/>
      <c r="D7" s="1"/>
      <c r="E7" s="1"/>
      <c r="F7" s="1"/>
      <c r="G7" s="1"/>
    </row>
    <row r="8" spans="1:7" x14ac:dyDescent="0.25">
      <c r="A8" s="1"/>
      <c r="B8" s="122" t="s">
        <v>155</v>
      </c>
      <c r="C8" s="123"/>
      <c r="D8" s="123"/>
      <c r="E8" s="123"/>
      <c r="F8" s="124"/>
      <c r="G8" s="1"/>
    </row>
    <row r="9" spans="1:7" x14ac:dyDescent="0.25">
      <c r="A9" s="1"/>
      <c r="B9" s="125" t="s">
        <v>156</v>
      </c>
      <c r="C9" s="126"/>
      <c r="D9" s="127"/>
      <c r="E9" s="9">
        <v>638612</v>
      </c>
      <c r="F9" s="14" t="s">
        <v>3</v>
      </c>
      <c r="G9" s="1"/>
    </row>
    <row r="10" spans="1:7" x14ac:dyDescent="0.25">
      <c r="A10" s="1"/>
      <c r="B10" s="140" t="s">
        <v>235</v>
      </c>
      <c r="C10" s="141"/>
      <c r="D10" s="142"/>
      <c r="E10" s="9">
        <v>638612</v>
      </c>
      <c r="F10" s="50" t="s">
        <v>3</v>
      </c>
      <c r="G10" s="1"/>
    </row>
    <row r="11" spans="1:7" x14ac:dyDescent="0.25">
      <c r="A11" s="1"/>
      <c r="B11" s="125" t="s">
        <v>185</v>
      </c>
      <c r="C11" s="126"/>
      <c r="D11" s="127"/>
      <c r="E11" s="9">
        <v>-2521474.2632165551</v>
      </c>
      <c r="F11" s="14" t="s">
        <v>3</v>
      </c>
      <c r="G11" s="1"/>
    </row>
    <row r="12" spans="1:7" x14ac:dyDescent="0.25">
      <c r="A12" s="1"/>
      <c r="B12" s="67"/>
      <c r="C12" s="68"/>
      <c r="D12" s="68"/>
      <c r="E12" s="68"/>
      <c r="F12" s="19"/>
      <c r="G12" s="1"/>
    </row>
    <row r="13" spans="1:7" ht="64.900000000000006" customHeight="1" x14ac:dyDescent="0.25">
      <c r="A13" s="1"/>
      <c r="B13" s="111" t="s">
        <v>251</v>
      </c>
      <c r="C13" s="112"/>
      <c r="D13" s="112"/>
      <c r="E13" s="112"/>
      <c r="F13" s="113"/>
      <c r="G13" s="1"/>
    </row>
    <row r="14" spans="1:7" ht="27" customHeight="1" x14ac:dyDescent="0.25">
      <c r="A14" s="1"/>
      <c r="B14" s="1"/>
      <c r="C14" s="1"/>
      <c r="D14" s="1"/>
      <c r="E14" s="1"/>
      <c r="F14" s="1"/>
      <c r="G14" s="1"/>
    </row>
    <row r="15" spans="1:7" ht="28.5" customHeight="1" x14ac:dyDescent="0.25">
      <c r="A15" s="1"/>
      <c r="B15" s="122" t="s">
        <v>157</v>
      </c>
      <c r="C15" s="123"/>
      <c r="D15" s="123"/>
      <c r="E15" s="123"/>
      <c r="F15" s="124"/>
      <c r="G15" s="1"/>
    </row>
    <row r="16" spans="1:7" x14ac:dyDescent="0.25">
      <c r="A16" s="1"/>
      <c r="B16" s="125" t="s">
        <v>236</v>
      </c>
      <c r="C16" s="126"/>
      <c r="D16" s="127"/>
      <c r="E16" s="9">
        <f>-470715.565804139*2</f>
        <v>-941431.13160827802</v>
      </c>
      <c r="F16" s="14" t="s">
        <v>3</v>
      </c>
      <c r="G16" s="1"/>
    </row>
    <row r="17" spans="1:7" x14ac:dyDescent="0.25">
      <c r="A17" s="1"/>
      <c r="B17" s="125" t="s">
        <v>237</v>
      </c>
      <c r="C17" s="126"/>
      <c r="D17" s="127"/>
      <c r="E17" s="9">
        <f>-470715.565804139*2</f>
        <v>-941431.13160827802</v>
      </c>
      <c r="F17" s="14" t="s">
        <v>3</v>
      </c>
      <c r="G17" s="1"/>
    </row>
    <row r="18" spans="1:7" x14ac:dyDescent="0.25">
      <c r="A18" s="1"/>
      <c r="B18" s="67"/>
      <c r="C18" s="68"/>
      <c r="D18" s="68"/>
      <c r="E18" s="68"/>
      <c r="F18" s="19"/>
      <c r="G18" s="1"/>
    </row>
    <row r="19" spans="1:7" ht="31.5" customHeight="1" x14ac:dyDescent="0.25">
      <c r="A19" s="1"/>
      <c r="B19" s="111" t="s">
        <v>158</v>
      </c>
      <c r="C19" s="112"/>
      <c r="D19" s="112"/>
      <c r="E19" s="112"/>
      <c r="F19" s="113"/>
      <c r="G19" s="1"/>
    </row>
    <row r="20" spans="1:7" ht="28.5" customHeight="1" x14ac:dyDescent="0.25">
      <c r="A20" s="1"/>
      <c r="B20" s="1"/>
      <c r="C20" s="1"/>
      <c r="D20" s="1"/>
      <c r="E20" s="1"/>
      <c r="F20" s="1"/>
      <c r="G20" s="1"/>
    </row>
    <row r="21" spans="1:7" ht="28.5" customHeight="1" x14ac:dyDescent="0.25">
      <c r="A21" s="1"/>
      <c r="B21" s="69" t="s">
        <v>186</v>
      </c>
      <c r="C21" s="70"/>
      <c r="D21" s="70"/>
      <c r="E21" s="70"/>
      <c r="F21" s="71"/>
      <c r="G21" s="1"/>
    </row>
    <row r="22" spans="1:7" x14ac:dyDescent="0.25">
      <c r="A22" s="1"/>
      <c r="B22" s="72" t="s">
        <v>238</v>
      </c>
      <c r="C22" s="73"/>
      <c r="D22" s="74"/>
      <c r="E22" s="9">
        <v>38472718.632242776</v>
      </c>
      <c r="F22" s="14" t="s">
        <v>3</v>
      </c>
      <c r="G22" s="1"/>
    </row>
    <row r="23" spans="1:7" x14ac:dyDescent="0.25">
      <c r="A23" s="1"/>
      <c r="B23" s="72" t="s">
        <v>187</v>
      </c>
      <c r="C23" s="73"/>
      <c r="D23" s="74"/>
      <c r="E23" s="9">
        <v>41666588</v>
      </c>
      <c r="F23" s="14" t="s">
        <v>3</v>
      </c>
      <c r="G23" s="1"/>
    </row>
    <row r="24" spans="1:7" x14ac:dyDescent="0.25">
      <c r="A24" s="1"/>
      <c r="B24" s="72" t="s">
        <v>31</v>
      </c>
      <c r="C24" s="73"/>
      <c r="D24" s="74"/>
      <c r="E24" s="9">
        <v>0</v>
      </c>
      <c r="F24" s="14" t="s">
        <v>3</v>
      </c>
      <c r="G24" s="1"/>
    </row>
    <row r="25" spans="1:7" x14ac:dyDescent="0.25">
      <c r="A25" s="1"/>
      <c r="B25" s="47" t="s">
        <v>252</v>
      </c>
      <c r="C25" s="48"/>
      <c r="D25" s="49"/>
      <c r="E25" s="53">
        <f>E22-(E23-E24)</f>
        <v>-3193869.3677572235</v>
      </c>
      <c r="F25" s="17" t="s">
        <v>3</v>
      </c>
      <c r="G25" s="1"/>
    </row>
    <row r="26" spans="1:7" x14ac:dyDescent="0.25">
      <c r="A26" s="1"/>
      <c r="B26" s="67"/>
      <c r="C26" s="68"/>
      <c r="D26" s="68"/>
      <c r="E26" s="68"/>
      <c r="F26" s="19"/>
      <c r="G26" s="1"/>
    </row>
    <row r="27" spans="1:7" x14ac:dyDescent="0.25">
      <c r="A27" s="1"/>
      <c r="B27" s="1"/>
      <c r="C27" s="1"/>
      <c r="D27" s="1"/>
      <c r="E27" s="1"/>
      <c r="F27" s="1"/>
      <c r="G27" s="1"/>
    </row>
    <row r="28" spans="1:7" ht="28.5" customHeight="1" x14ac:dyDescent="0.25">
      <c r="A28" s="1"/>
      <c r="B28" s="122" t="s">
        <v>239</v>
      </c>
      <c r="C28" s="123"/>
      <c r="D28" s="123"/>
      <c r="E28" s="123"/>
      <c r="F28" s="124"/>
      <c r="G28" s="1"/>
    </row>
    <row r="29" spans="1:7" x14ac:dyDescent="0.25">
      <c r="A29" s="1"/>
      <c r="B29" s="143" t="s">
        <v>128</v>
      </c>
      <c r="C29" s="144"/>
      <c r="D29" s="145"/>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-5076731.6309737796</v>
      </c>
      <c r="F29" s="14" t="s">
        <v>3</v>
      </c>
      <c r="G29" s="1"/>
    </row>
    <row r="30" spans="1:7" x14ac:dyDescent="0.25">
      <c r="A30" s="1"/>
      <c r="B30" s="143" t="s">
        <v>93</v>
      </c>
      <c r="C30" s="144"/>
      <c r="D30" s="145"/>
      <c r="E30" s="9">
        <v>2</v>
      </c>
      <c r="F30" s="14" t="s">
        <v>18</v>
      </c>
      <c r="G30" s="1"/>
    </row>
    <row r="31" spans="1:7" x14ac:dyDescent="0.25">
      <c r="A31" s="1"/>
      <c r="B31" s="136" t="s">
        <v>127</v>
      </c>
      <c r="C31" s="136"/>
      <c r="D31" s="136"/>
      <c r="E31" s="10">
        <f>E29/E30</f>
        <v>-2538365.8154868898</v>
      </c>
      <c r="F31" s="17" t="s">
        <v>3</v>
      </c>
      <c r="G31" s="1"/>
    </row>
    <row r="32" spans="1:7" x14ac:dyDescent="0.25">
      <c r="A32" s="1"/>
      <c r="B32" s="137"/>
      <c r="C32" s="138"/>
      <c r="D32" s="138"/>
      <c r="E32" s="138"/>
      <c r="F32" s="139"/>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OIQzMQ0jSAGNCajfMZcSIXPRlUaWcgKCo30uaFY1Y/vazxVjccoSfvQCx9IT9+oSrTuSKhAbvD80VHZrO7mE1g==" saltValue="TEurGENYtv0dT32KIwgUsg=="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 defaultRowHeight="15" x14ac:dyDescent="0.25"/>
  <cols>
    <col min="1" max="1" width="4.7109375" style="36" customWidth="1"/>
    <col min="2" max="2" width="22.5703125" style="36" customWidth="1"/>
    <col min="3" max="3" width="8.28515625" style="36" customWidth="1"/>
    <col min="4" max="6" width="10.7109375" style="36" customWidth="1"/>
    <col min="7" max="7" width="11" style="36" customWidth="1"/>
    <col min="8" max="8" width="3.28515625" style="36" customWidth="1"/>
    <col min="9" max="9" width="4.85546875" style="36" customWidth="1"/>
    <col min="10" max="16384" width="9"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9" t="s">
        <v>226</v>
      </c>
      <c r="C3" s="99"/>
      <c r="D3" s="99"/>
      <c r="E3" s="99"/>
      <c r="F3" s="99"/>
      <c r="G3" s="99"/>
      <c r="H3" s="99"/>
      <c r="I3" s="1"/>
    </row>
    <row r="4" spans="1:9" ht="15" customHeight="1" x14ac:dyDescent="0.25">
      <c r="A4" s="1"/>
      <c r="B4" s="99"/>
      <c r="C4" s="99"/>
      <c r="D4" s="99"/>
      <c r="E4" s="99"/>
      <c r="F4" s="99"/>
      <c r="G4" s="99"/>
      <c r="H4" s="9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2" t="s">
        <v>227</v>
      </c>
      <c r="C8" s="123"/>
      <c r="D8" s="123"/>
      <c r="E8" s="123"/>
      <c r="F8" s="123"/>
      <c r="G8" s="123"/>
      <c r="H8" s="124"/>
      <c r="I8" s="1"/>
    </row>
    <row r="9" spans="1:9" ht="15" customHeight="1" x14ac:dyDescent="0.25">
      <c r="A9" s="1"/>
      <c r="B9" s="117" t="s">
        <v>228</v>
      </c>
      <c r="C9" s="118"/>
      <c r="D9" s="118"/>
      <c r="E9" s="118"/>
      <c r="F9" s="118"/>
      <c r="G9" s="118"/>
      <c r="H9" s="119"/>
      <c r="I9" s="1"/>
    </row>
    <row r="10" spans="1:9" x14ac:dyDescent="0.25">
      <c r="A10" s="1"/>
      <c r="B10" s="146" t="s">
        <v>243</v>
      </c>
      <c r="C10" s="147"/>
      <c r="D10" s="147"/>
      <c r="E10" s="147"/>
      <c r="F10" s="148"/>
      <c r="G10" s="52">
        <v>0</v>
      </c>
      <c r="H10" s="9" t="s">
        <v>3</v>
      </c>
      <c r="I10" s="1"/>
    </row>
    <row r="11" spans="1:9" x14ac:dyDescent="0.25">
      <c r="A11" s="1"/>
      <c r="B11" s="146" t="s">
        <v>244</v>
      </c>
      <c r="C11" s="147"/>
      <c r="D11" s="147"/>
      <c r="E11" s="147"/>
      <c r="F11" s="148"/>
      <c r="G11" s="52">
        <v>0</v>
      </c>
      <c r="H11" s="9" t="s">
        <v>3</v>
      </c>
      <c r="I11" s="1"/>
    </row>
    <row r="12" spans="1:9" x14ac:dyDescent="0.25">
      <c r="A12" s="1"/>
      <c r="B12" s="146" t="s">
        <v>245</v>
      </c>
      <c r="C12" s="147"/>
      <c r="D12" s="147"/>
      <c r="E12" s="147"/>
      <c r="F12" s="148"/>
      <c r="G12" s="9">
        <v>0</v>
      </c>
      <c r="H12" s="9" t="s">
        <v>3</v>
      </c>
      <c r="I12" s="1"/>
    </row>
    <row r="13" spans="1:9" x14ac:dyDescent="0.25">
      <c r="A13" s="1"/>
      <c r="B13" s="146" t="s">
        <v>246</v>
      </c>
      <c r="C13" s="147"/>
      <c r="D13" s="147"/>
      <c r="E13" s="147"/>
      <c r="F13" s="148"/>
      <c r="G13" s="9">
        <v>0</v>
      </c>
      <c r="H13" s="9" t="s">
        <v>3</v>
      </c>
      <c r="I13" s="1"/>
    </row>
    <row r="14" spans="1:9" x14ac:dyDescent="0.25">
      <c r="A14" s="1"/>
      <c r="B14" s="146" t="s">
        <v>247</v>
      </c>
      <c r="C14" s="147"/>
      <c r="D14" s="147"/>
      <c r="E14" s="147"/>
      <c r="F14" s="148"/>
      <c r="G14" s="9">
        <v>0</v>
      </c>
      <c r="H14" s="9" t="s">
        <v>3</v>
      </c>
      <c r="I14" s="1"/>
    </row>
    <row r="15" spans="1:9" x14ac:dyDescent="0.25">
      <c r="A15" s="1"/>
      <c r="B15" s="146" t="s">
        <v>248</v>
      </c>
      <c r="C15" s="147"/>
      <c r="D15" s="147"/>
      <c r="E15" s="147"/>
      <c r="F15" s="148"/>
      <c r="G15" s="9">
        <v>0</v>
      </c>
      <c r="H15" s="9" t="s">
        <v>3</v>
      </c>
      <c r="I15" s="1"/>
    </row>
    <row r="16" spans="1:9" x14ac:dyDescent="0.25">
      <c r="A16" s="1"/>
      <c r="B16" s="146" t="s">
        <v>249</v>
      </c>
      <c r="C16" s="147"/>
      <c r="D16" s="147"/>
      <c r="E16" s="147"/>
      <c r="F16" s="148"/>
      <c r="G16" s="9">
        <v>0</v>
      </c>
      <c r="H16" s="9" t="s">
        <v>3</v>
      </c>
      <c r="I16" s="1"/>
    </row>
    <row r="17" spans="1:9" x14ac:dyDescent="0.25">
      <c r="A17" s="1"/>
      <c r="B17" s="146" t="s">
        <v>250</v>
      </c>
      <c r="C17" s="147"/>
      <c r="D17" s="147"/>
      <c r="E17" s="147"/>
      <c r="F17" s="148"/>
      <c r="G17" s="9">
        <v>0</v>
      </c>
      <c r="H17" s="9" t="s">
        <v>3</v>
      </c>
      <c r="I17" s="1"/>
    </row>
    <row r="18" spans="1:9" x14ac:dyDescent="0.25">
      <c r="A18" s="1"/>
      <c r="B18" s="122" t="s">
        <v>229</v>
      </c>
      <c r="C18" s="123"/>
      <c r="D18" s="123"/>
      <c r="E18" s="123"/>
      <c r="F18" s="124"/>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W/g0x9BhWnpYSCeEJAU2cDg5t77QgCpJJzirR6O9ORRzzedTtjuqzCzwNh94QdasriHM/FtdYs37xW00GQXlNw==" saltValue="AdEIucS+79OcesbfTTalYw==" spinCount="100000" sheet="1" objects="1" scenarios="1"/>
  <mergeCells count="12">
    <mergeCell ref="B11:F11"/>
    <mergeCell ref="B3:H4"/>
    <mergeCell ref="B8:H8"/>
    <mergeCell ref="B9:H9"/>
    <mergeCell ref="B10:F10"/>
    <mergeCell ref="B17:F17"/>
    <mergeCell ref="B18:F18"/>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9" t="s">
        <v>220</v>
      </c>
      <c r="C3" s="99"/>
      <c r="D3" s="99"/>
      <c r="E3" s="99"/>
      <c r="F3" s="99"/>
      <c r="G3" s="99"/>
      <c r="H3" s="99"/>
      <c r="I3" s="99"/>
      <c r="J3" s="99"/>
      <c r="K3" s="99"/>
      <c r="L3" s="1"/>
    </row>
    <row r="4" spans="1:12" ht="15" customHeight="1" x14ac:dyDescent="0.25">
      <c r="A4" s="1"/>
      <c r="B4" s="99"/>
      <c r="C4" s="99"/>
      <c r="D4" s="99"/>
      <c r="E4" s="99"/>
      <c r="F4" s="99"/>
      <c r="G4" s="99"/>
      <c r="H4" s="99"/>
      <c r="I4" s="99"/>
      <c r="J4" s="99"/>
      <c r="K4" s="9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2" t="s">
        <v>192</v>
      </c>
      <c r="C8" s="123"/>
      <c r="D8" s="123"/>
      <c r="E8" s="123"/>
      <c r="F8" s="123"/>
      <c r="G8" s="123"/>
      <c r="H8" s="123"/>
      <c r="I8" s="123"/>
      <c r="J8" s="123"/>
      <c r="K8" s="124"/>
      <c r="L8" s="1"/>
    </row>
    <row r="9" spans="1:12" ht="39.75" customHeight="1" x14ac:dyDescent="0.25">
      <c r="A9" s="1"/>
      <c r="B9" s="18" t="s">
        <v>0</v>
      </c>
      <c r="C9" s="18" t="s">
        <v>1</v>
      </c>
      <c r="D9" s="149" t="s">
        <v>213</v>
      </c>
      <c r="E9" s="150"/>
      <c r="F9" s="149" t="s">
        <v>2</v>
      </c>
      <c r="G9" s="150"/>
      <c r="H9" s="149" t="s">
        <v>214</v>
      </c>
      <c r="I9" s="150"/>
      <c r="J9" s="149" t="s">
        <v>28</v>
      </c>
      <c r="K9" s="150"/>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7" t="s">
        <v>193</v>
      </c>
      <c r="C11" s="68"/>
      <c r="D11" s="19"/>
      <c r="E11" s="71"/>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nokfojmzNTAgzzRMFJRF1DcbEIFlNcqGj2TRSAEjIfq68ftOjX1Y3PdnyXE6Wu5QKDeEV6lyb8obNi1ainjsog==" saltValue="ql6HOuOiwhYccHTVeAD/B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221</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75</v>
      </c>
      <c r="C8" s="68"/>
      <c r="D8" s="68"/>
      <c r="E8" s="68"/>
      <c r="F8" s="19"/>
      <c r="G8" s="1"/>
    </row>
    <row r="9" spans="1:7" ht="17.25" customHeight="1" x14ac:dyDescent="0.25">
      <c r="A9" s="1"/>
      <c r="B9" s="65" t="s">
        <v>15</v>
      </c>
      <c r="C9" s="65" t="s">
        <v>10</v>
      </c>
      <c r="D9" s="66"/>
      <c r="E9" s="65" t="s">
        <v>29</v>
      </c>
      <c r="F9" s="62"/>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0</v>
      </c>
      <c r="D11" s="14" t="s">
        <v>3</v>
      </c>
      <c r="E11" s="9">
        <v>58291</v>
      </c>
      <c r="F11" s="14" t="s">
        <v>3</v>
      </c>
      <c r="G11" s="1"/>
    </row>
    <row r="12" spans="1:7" x14ac:dyDescent="0.25">
      <c r="A12" s="1"/>
      <c r="B12" s="67" t="s">
        <v>148</v>
      </c>
      <c r="C12" s="12">
        <f>SUM(C10:C11)</f>
        <v>0</v>
      </c>
      <c r="D12" s="13" t="s">
        <v>3</v>
      </c>
      <c r="E12" s="12">
        <f>SUM(E10:E11)</f>
        <v>58291</v>
      </c>
      <c r="F12" s="13" t="s">
        <v>3</v>
      </c>
      <c r="G12" s="1"/>
    </row>
    <row r="13" spans="1:7" x14ac:dyDescent="0.25">
      <c r="A13" s="1"/>
      <c r="B13" s="67" t="s">
        <v>188</v>
      </c>
      <c r="C13" s="12">
        <f>C12*(1+'Fane 13. Nøgletal'!C15)</f>
        <v>0</v>
      </c>
      <c r="D13" s="13" t="s">
        <v>3</v>
      </c>
      <c r="E13" s="12">
        <f>E12*(1+'Fane 13. Nøgletal'!C15)</f>
        <v>60366.159600000006</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DeE9+/iekAu8rDBZ7a6tPJ6HTYBwDNegdTLAwg458RQ/Kb6Ejg11NTRHZQKgNLkFrQVq/m9YFI6GmmFJxg7hA==" saltValue="cOpqoWgZIWOXVayGV4TAK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222</v>
      </c>
      <c r="C3" s="99"/>
      <c r="D3" s="99"/>
      <c r="E3" s="99"/>
      <c r="F3" s="99"/>
      <c r="G3" s="1"/>
    </row>
    <row r="4" spans="1:7" ht="1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2" t="s">
        <v>88</v>
      </c>
      <c r="C9" s="123"/>
      <c r="D9" s="123"/>
      <c r="E9" s="123"/>
      <c r="F9" s="124"/>
      <c r="G9" s="1"/>
    </row>
    <row r="10" spans="1:7" ht="26.25" x14ac:dyDescent="0.25">
      <c r="A10" s="1"/>
      <c r="B10" s="65" t="s">
        <v>15</v>
      </c>
      <c r="C10" s="65" t="s">
        <v>10</v>
      </c>
      <c r="D10" s="66"/>
      <c r="E10" s="65" t="s">
        <v>29</v>
      </c>
      <c r="F10" s="62"/>
      <c r="G10" s="1"/>
    </row>
    <row r="11" spans="1:7" x14ac:dyDescent="0.25">
      <c r="A11" s="1"/>
      <c r="B11" s="22" t="s">
        <v>253</v>
      </c>
      <c r="C11" s="21">
        <v>0</v>
      </c>
      <c r="D11" s="14" t="s">
        <v>3</v>
      </c>
      <c r="E11" s="9">
        <v>0</v>
      </c>
      <c r="F11" s="14" t="s">
        <v>3</v>
      </c>
      <c r="G11" s="1"/>
    </row>
    <row r="12" spans="1:7" x14ac:dyDescent="0.25">
      <c r="A12" s="1"/>
      <c r="B12" s="67" t="s">
        <v>195</v>
      </c>
      <c r="C12" s="12">
        <f>SUM(C11:C11)</f>
        <v>0</v>
      </c>
      <c r="D12" s="13" t="s">
        <v>3</v>
      </c>
      <c r="E12" s="12">
        <f>SUM(E11:E11)</f>
        <v>0</v>
      </c>
      <c r="F12" s="13" t="s">
        <v>3</v>
      </c>
      <c r="G12" s="1"/>
    </row>
    <row r="13" spans="1:7" x14ac:dyDescent="0.25">
      <c r="A13" s="1"/>
      <c r="B13" s="67"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f5bDR2rJ9cd3EI6KrdsoCb1hule4FYCPwuXwQoAsdoLpWS9EJ7MhcnKcdXBqdGRgdtltlGdv+ZeqPqeUDVlxog==" saltValue="6NLYHn1Ck0a+Zn+NeE7zF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223</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2" t="s">
        <v>112</v>
      </c>
      <c r="C8" s="123"/>
      <c r="D8" s="123"/>
      <c r="E8" s="123"/>
      <c r="F8" s="124"/>
      <c r="G8" s="1"/>
    </row>
    <row r="9" spans="1:7" ht="15" customHeight="1" x14ac:dyDescent="0.25">
      <c r="A9" s="1"/>
      <c r="B9" s="61" t="s">
        <v>113</v>
      </c>
      <c r="C9" s="117" t="s">
        <v>10</v>
      </c>
      <c r="D9" s="119"/>
      <c r="E9" s="117" t="s">
        <v>29</v>
      </c>
      <c r="F9" s="119"/>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mRrfVrZ9oR9lZ39zrbt7xCi3Y5nJzng05Y/7Ycf2RzGXassIfnL2ZD2tB0nQv6wyRPjRXqbc0lZQle2OMcw9g==" saltValue="oDiyodsXOfhwqJmqx78kx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224</v>
      </c>
      <c r="C3" s="107"/>
      <c r="D3" s="107"/>
      <c r="E3" s="107"/>
      <c r="F3" s="107"/>
      <c r="G3" s="1"/>
    </row>
    <row r="4" spans="1:7" ht="25.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2" t="s">
        <v>85</v>
      </c>
      <c r="C10" s="123"/>
      <c r="D10" s="123"/>
      <c r="E10" s="123"/>
      <c r="F10" s="124"/>
      <c r="G10" s="1"/>
    </row>
    <row r="11" spans="1:7" ht="26.25" x14ac:dyDescent="0.25">
      <c r="A11" s="1"/>
      <c r="B11" s="61" t="s">
        <v>16</v>
      </c>
      <c r="C11" s="61" t="s">
        <v>10</v>
      </c>
      <c r="D11" s="62"/>
      <c r="E11" s="61" t="s">
        <v>29</v>
      </c>
      <c r="F11" s="62"/>
      <c r="G11" s="1"/>
    </row>
    <row r="12" spans="1:7" x14ac:dyDescent="0.25">
      <c r="A12" s="1"/>
      <c r="B12" s="22" t="s">
        <v>241</v>
      </c>
      <c r="C12" s="9">
        <v>0</v>
      </c>
      <c r="D12" s="14" t="s">
        <v>3</v>
      </c>
      <c r="E12" s="9">
        <v>0</v>
      </c>
      <c r="F12" s="14" t="s">
        <v>3</v>
      </c>
      <c r="G12" s="1"/>
    </row>
    <row r="13" spans="1:7" x14ac:dyDescent="0.25">
      <c r="A13" s="1"/>
      <c r="B13" s="67" t="s">
        <v>196</v>
      </c>
      <c r="C13" s="12">
        <f>SUM(C12:C12)</f>
        <v>0</v>
      </c>
      <c r="D13" s="13" t="s">
        <v>3</v>
      </c>
      <c r="E13" s="12">
        <f>SUM(E12:E12)</f>
        <v>0</v>
      </c>
      <c r="F13" s="13" t="s">
        <v>3</v>
      </c>
      <c r="G13" s="1"/>
    </row>
    <row r="14" spans="1:7" x14ac:dyDescent="0.25">
      <c r="A14" s="1"/>
      <c r="B14" s="67"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2RG1fE/ExfJ9jWXOjKk3Aj6qUoKorWcxXrTQDE8uIV8QQE55MYNkon2dVu3BCDkkX7IHNhvxCBYmZhBelBU1bw==" saltValue="NcWeM3THbWoXH5djhCHgO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5" customWidth="1"/>
    <col min="4" max="4" width="9" style="2" customWidth="1"/>
    <col min="5" max="16384" width="9" style="2"/>
  </cols>
  <sheetData>
    <row r="1" spans="1:4" x14ac:dyDescent="0.25">
      <c r="A1" s="1"/>
      <c r="B1" s="1"/>
      <c r="C1" s="40"/>
      <c r="D1" s="1"/>
    </row>
    <row r="2" spans="1:4" x14ac:dyDescent="0.25">
      <c r="A2" s="1"/>
      <c r="B2" s="1"/>
      <c r="C2" s="40"/>
      <c r="D2" s="1"/>
    </row>
    <row r="3" spans="1:4" ht="15" customHeight="1" x14ac:dyDescent="0.25">
      <c r="A3" s="1"/>
      <c r="B3" s="107" t="s">
        <v>225</v>
      </c>
      <c r="C3" s="107"/>
      <c r="D3" s="1"/>
    </row>
    <row r="4" spans="1:4" ht="25.5" customHeight="1" x14ac:dyDescent="0.25">
      <c r="A4" s="1"/>
      <c r="B4" s="107"/>
      <c r="C4" s="107"/>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7"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22"/>
      <c r="C16" s="124"/>
      <c r="D16" s="1"/>
    </row>
    <row r="17" spans="1:4" x14ac:dyDescent="0.25">
      <c r="A17" s="1"/>
      <c r="B17" s="1"/>
      <c r="C17" s="40"/>
      <c r="D17" s="1"/>
    </row>
    <row r="18" spans="1:4" x14ac:dyDescent="0.25">
      <c r="A18" s="1"/>
      <c r="B18" s="1"/>
      <c r="C18" s="40"/>
      <c r="D18" s="1"/>
    </row>
    <row r="19" spans="1:4" x14ac:dyDescent="0.25">
      <c r="A19" s="1"/>
      <c r="B19" s="67"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7"/>
      <c r="C27" s="41"/>
      <c r="D27" s="1"/>
    </row>
    <row r="28" spans="1:4" x14ac:dyDescent="0.25">
      <c r="A28" s="1"/>
      <c r="B28" s="1"/>
      <c r="C28" s="40"/>
      <c r="D28" s="1"/>
    </row>
    <row r="29" spans="1:4" x14ac:dyDescent="0.25">
      <c r="A29" s="1"/>
      <c r="B29" s="1"/>
      <c r="C29" s="40"/>
      <c r="D29" s="1"/>
    </row>
    <row r="30" spans="1:4" x14ac:dyDescent="0.25">
      <c r="A30" s="1"/>
      <c r="B30" s="67" t="s">
        <v>90</v>
      </c>
      <c r="C30" s="41"/>
      <c r="D30" s="1"/>
    </row>
    <row r="31" spans="1:4" x14ac:dyDescent="0.25">
      <c r="A31" s="1"/>
      <c r="B31" s="75" t="s">
        <v>107</v>
      </c>
      <c r="C31" s="42">
        <v>0.02</v>
      </c>
      <c r="D31" s="1"/>
    </row>
    <row r="32" spans="1:4" x14ac:dyDescent="0.25">
      <c r="A32" s="1"/>
      <c r="B32" s="67"/>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LkjxpthdrfZbIgMs8+qd7W3Of9q+O3ATD/uUgEvDapuIOKoq4BCf22qiKblPJ7Anjr5HYgzTYVK7JbDE/ysBIg==" saltValue="esFdfMDyWlGtBGsJiCJFE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165</v>
      </c>
      <c r="C3" s="99"/>
      <c r="D3" s="99"/>
      <c r="E3" s="1"/>
    </row>
    <row r="4" spans="1:5" ht="15" customHeight="1"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67" t="s">
        <v>12</v>
      </c>
      <c r="C7" s="68"/>
      <c r="D7" s="19"/>
      <c r="E7" s="1"/>
    </row>
    <row r="8" spans="1:5" x14ac:dyDescent="0.25">
      <c r="A8" s="1"/>
      <c r="B8" s="64" t="s">
        <v>116</v>
      </c>
      <c r="C8" s="7">
        <f>'Fane 3. Omkostninger i ØR2022'!E20</f>
        <v>20141939.044492546</v>
      </c>
      <c r="D8" s="8" t="s">
        <v>3</v>
      </c>
      <c r="E8" s="1"/>
    </row>
    <row r="9" spans="1:5" ht="17.25" customHeight="1" x14ac:dyDescent="0.25">
      <c r="A9" s="1"/>
      <c r="B9" s="23" t="s">
        <v>35</v>
      </c>
      <c r="C9" s="7">
        <f>'Fane 10.1. Varige tillæg'!C13</f>
        <v>0</v>
      </c>
      <c r="D9" s="8" t="s">
        <v>3</v>
      </c>
      <c r="E9" s="1"/>
    </row>
    <row r="10" spans="1:5" ht="17.25" customHeight="1" x14ac:dyDescent="0.25">
      <c r="A10" s="1"/>
      <c r="B10" s="23" t="s">
        <v>36</v>
      </c>
      <c r="C10" s="9">
        <f>'Fane 10.1. Varige tillæg'!E13</f>
        <v>60366.159600000006</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719202.06526569463</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drift'!G43</f>
        <v>-240344.45575665185</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20681162.813601587</v>
      </c>
      <c r="D19" s="11" t="s">
        <v>3</v>
      </c>
      <c r="E19" s="1"/>
    </row>
    <row r="20" spans="1:5" ht="15" customHeight="1" x14ac:dyDescent="0.25">
      <c r="A20" s="1"/>
      <c r="B20" s="67" t="s">
        <v>11</v>
      </c>
      <c r="C20" s="68"/>
      <c r="D20" s="19"/>
      <c r="E20" s="1"/>
    </row>
    <row r="21" spans="1:5" ht="15" customHeight="1" x14ac:dyDescent="0.25">
      <c r="A21" s="1"/>
      <c r="B21" s="61" t="s">
        <v>11</v>
      </c>
      <c r="C21" s="10">
        <f>'Fane 6. Ikke-påvirkelige omk.'!C15</f>
        <v>17818912.200447362</v>
      </c>
      <c r="D21" s="11" t="s">
        <v>3</v>
      </c>
      <c r="E21" s="1"/>
    </row>
    <row r="22" spans="1:5" ht="15" customHeight="1" x14ac:dyDescent="0.25">
      <c r="A22" s="1"/>
      <c r="B22" s="67" t="s">
        <v>80</v>
      </c>
      <c r="C22" s="68"/>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8"/>
      <c r="D28" s="19"/>
      <c r="E28" s="1"/>
    </row>
    <row r="29" spans="1:5" x14ac:dyDescent="0.25">
      <c r="A29" s="1"/>
      <c r="B29" s="76" t="s">
        <v>129</v>
      </c>
      <c r="C29" s="10">
        <f>'Fane 7. Kontrol af ØR2021'!E31</f>
        <v>-2538365.8154868898</v>
      </c>
      <c r="D29" s="11" t="s">
        <v>3</v>
      </c>
      <c r="E29" s="1"/>
    </row>
    <row r="30" spans="1:5" x14ac:dyDescent="0.25">
      <c r="A30" s="1"/>
      <c r="B30" s="25" t="s">
        <v>153</v>
      </c>
      <c r="C30" s="68"/>
      <c r="D30" s="19"/>
      <c r="E30" s="1"/>
    </row>
    <row r="31" spans="1:5" x14ac:dyDescent="0.25">
      <c r="A31" s="1"/>
      <c r="B31" s="76" t="s">
        <v>154</v>
      </c>
      <c r="C31" s="10">
        <f>'Fane 8. Skattesagen'!G12</f>
        <v>0</v>
      </c>
      <c r="D31" s="11" t="s">
        <v>3</v>
      </c>
      <c r="E31" s="1"/>
    </row>
    <row r="32" spans="1:5" x14ac:dyDescent="0.25">
      <c r="A32" s="1"/>
      <c r="B32" s="67" t="s">
        <v>84</v>
      </c>
      <c r="C32" s="34">
        <f>SUM(C19,C21,C27,C29,C31)</f>
        <v>35961709.198562056</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F8s2Nj//QzOfn/oooLuylYwrSmEbq+IzrAcr3G0fp/h+gd35XRXhuKOgb1YYkfI060x/CaL2snisfJPbTAlxA==" saltValue="Iw54Yj7McjOTeygjiN6k0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166</v>
      </c>
      <c r="C3" s="99"/>
      <c r="D3" s="99"/>
      <c r="E3" s="1"/>
    </row>
    <row r="4" spans="1:5" ht="15" customHeight="1" x14ac:dyDescent="0.25">
      <c r="A4" s="1"/>
      <c r="B4" s="99"/>
      <c r="C4" s="99"/>
      <c r="D4" s="99"/>
      <c r="E4" s="1"/>
    </row>
    <row r="5" spans="1:5" x14ac:dyDescent="0.25">
      <c r="A5" s="1"/>
      <c r="B5" s="100"/>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117</v>
      </c>
      <c r="C8" s="7">
        <f>'Fane 2.1. Økonomisk ramme 2023'!C19</f>
        <v>20681162.813601587</v>
      </c>
      <c r="D8" s="8" t="s">
        <v>3</v>
      </c>
      <c r="E8" s="1"/>
    </row>
    <row r="9" spans="1:5" ht="15" customHeight="1" x14ac:dyDescent="0.25">
      <c r="A9" s="1"/>
      <c r="B9" s="60" t="s">
        <v>17</v>
      </c>
      <c r="C9" s="9">
        <f>SUM(C8:C8)*'Fane 13. Nøgletal'!C15</f>
        <v>736249.39616421645</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drift'!G48</f>
        <v>-243922.70401395691</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21173489.505751844</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f>
        <v>18453265.47478329</v>
      </c>
      <c r="D15" s="11" t="s">
        <v>3</v>
      </c>
      <c r="E15" s="1"/>
    </row>
    <row r="16" spans="1:5" x14ac:dyDescent="0.25">
      <c r="A16" s="1"/>
      <c r="B16" s="25" t="s">
        <v>128</v>
      </c>
      <c r="C16" s="68"/>
      <c r="D16" s="19"/>
      <c r="E16" s="1"/>
    </row>
    <row r="17" spans="1:5" ht="15" customHeight="1" x14ac:dyDescent="0.25">
      <c r="A17" s="1"/>
      <c r="B17" s="76" t="s">
        <v>129</v>
      </c>
      <c r="C17" s="10">
        <f>'Fane 7. Kontrol af ØR2021'!E31</f>
        <v>-2538365.8154868898</v>
      </c>
      <c r="D17" s="11" t="s">
        <v>3</v>
      </c>
      <c r="E17" s="1"/>
    </row>
    <row r="18" spans="1:5" x14ac:dyDescent="0.25">
      <c r="A18" s="1"/>
      <c r="B18" s="25" t="s">
        <v>153</v>
      </c>
      <c r="C18" s="68"/>
      <c r="D18" s="19"/>
      <c r="E18" s="1"/>
    </row>
    <row r="19" spans="1:5" x14ac:dyDescent="0.25">
      <c r="A19" s="1"/>
      <c r="B19" s="76" t="s">
        <v>154</v>
      </c>
      <c r="C19" s="10">
        <f>'Fane 8. Skattesagen'!G13</f>
        <v>0</v>
      </c>
      <c r="D19" s="11" t="s">
        <v>3</v>
      </c>
      <c r="E19" s="1"/>
    </row>
    <row r="20" spans="1:5" x14ac:dyDescent="0.25">
      <c r="A20" s="1"/>
      <c r="B20" s="67" t="s">
        <v>138</v>
      </c>
      <c r="C20" s="12">
        <f>SUM(C13,C15,C17,C19)</f>
        <v>37088389.165048242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CX25P8+YUpRpNaRq2ID17jBbNSToRaG4JdXJIT0yID4jjePD7A+wPYDme+mSncD89yTp2++qu3OUjUUczzhirg==" saltValue="z8bPBDImkWVL/9fZprZdU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167</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139</v>
      </c>
      <c r="C8" s="7">
        <f>'Fane 2.2. Økonomisk ramme 2024'!C13</f>
        <v>21173489.505751844</v>
      </c>
      <c r="D8" s="8" t="s">
        <v>3</v>
      </c>
      <c r="E8" s="1"/>
    </row>
    <row r="9" spans="1:5" ht="15" customHeight="1" x14ac:dyDescent="0.25">
      <c r="A9" s="1"/>
      <c r="B9" s="60" t="s">
        <v>17</v>
      </c>
      <c r="C9" s="9">
        <f>SUM(C8:C8)*'Fane 13. Nøgletal'!C15</f>
        <v>753776.22640476562</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drift'!G53</f>
        <v>-247554.22523131673</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21679711.506925296</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Nøgletal'!C15)^2</f>
        <v>19110201.725685574</v>
      </c>
      <c r="D15" s="11" t="s">
        <v>3</v>
      </c>
      <c r="E15" s="1"/>
    </row>
    <row r="16" spans="1:5" x14ac:dyDescent="0.25">
      <c r="A16" s="1"/>
      <c r="B16" s="67" t="s">
        <v>128</v>
      </c>
      <c r="C16" s="68"/>
      <c r="D16" s="19"/>
      <c r="E16" s="1"/>
    </row>
    <row r="17" spans="1:5" x14ac:dyDescent="0.25">
      <c r="A17" s="1"/>
      <c r="B17" s="61" t="s">
        <v>129</v>
      </c>
      <c r="C17" s="10">
        <v>0</v>
      </c>
      <c r="D17" s="11" t="s">
        <v>3</v>
      </c>
      <c r="E17" s="1"/>
    </row>
    <row r="18" spans="1:5" ht="15" customHeight="1" x14ac:dyDescent="0.25">
      <c r="A18" s="1"/>
      <c r="B18" s="25" t="s">
        <v>153</v>
      </c>
      <c r="C18" s="68"/>
      <c r="D18" s="19"/>
      <c r="E18" s="1"/>
    </row>
    <row r="19" spans="1:5" ht="15" customHeight="1" x14ac:dyDescent="0.25">
      <c r="A19" s="1"/>
      <c r="B19" s="76" t="s">
        <v>154</v>
      </c>
      <c r="C19" s="10">
        <f>'Fane 8. Skattesagen'!G14</f>
        <v>0</v>
      </c>
      <c r="D19" s="11" t="s">
        <v>3</v>
      </c>
      <c r="E19" s="1"/>
    </row>
    <row r="20" spans="1:5" x14ac:dyDescent="0.25">
      <c r="A20" s="1"/>
      <c r="B20" s="67" t="s">
        <v>140</v>
      </c>
      <c r="C20" s="12">
        <f>SUM(C13,C15,C17,C19)</f>
        <v>40789913.232610866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gR4PfNkut+Uv1Ud8B+diYB9kXQWmq85nDe/7lqHwoFFVwtNjEPickJ6TMT7YA64xk1ufuBWJpec7jTBG5YnGhA==" saltValue="XwU6/7XCqBQ0th36CmEfp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99" t="s">
        <v>168</v>
      </c>
      <c r="C3" s="99"/>
      <c r="D3" s="99"/>
      <c r="E3" s="1"/>
    </row>
    <row r="4" spans="1:5" ht="15" customHeight="1" x14ac:dyDescent="0.25">
      <c r="A4" s="1"/>
      <c r="B4" s="99"/>
      <c r="C4" s="99"/>
      <c r="D4" s="99"/>
      <c r="E4" s="1"/>
    </row>
    <row r="5" spans="1:5" x14ac:dyDescent="0.25">
      <c r="A5" s="1"/>
      <c r="B5" s="100" t="s">
        <v>20</v>
      </c>
      <c r="C5" s="100"/>
      <c r="D5" s="100"/>
      <c r="E5" s="1"/>
    </row>
    <row r="6" spans="1:5" x14ac:dyDescent="0.25">
      <c r="A6" s="1"/>
      <c r="B6" s="1"/>
      <c r="C6" s="1"/>
      <c r="D6" s="1"/>
      <c r="E6" s="1"/>
    </row>
    <row r="7" spans="1:5" x14ac:dyDescent="0.25">
      <c r="A7" s="1"/>
      <c r="B7" s="67" t="s">
        <v>12</v>
      </c>
      <c r="C7" s="68"/>
      <c r="D7" s="19"/>
      <c r="E7" s="1"/>
    </row>
    <row r="8" spans="1:5" ht="15" customHeight="1" x14ac:dyDescent="0.25">
      <c r="A8" s="1"/>
      <c r="B8" s="64" t="s">
        <v>169</v>
      </c>
      <c r="C8" s="7">
        <f>'Fane 2.3. Økonomisk ramme 2025'!C13</f>
        <v>21679711.506925296</v>
      </c>
      <c r="D8" s="8" t="s">
        <v>3</v>
      </c>
      <c r="E8" s="1"/>
    </row>
    <row r="9" spans="1:5" ht="15" customHeight="1" x14ac:dyDescent="0.25">
      <c r="A9" s="1"/>
      <c r="B9" s="60" t="s">
        <v>17</v>
      </c>
      <c r="C9" s="9">
        <f>SUM(C8:C8)*'Fane 13. Nøgletal'!C15</f>
        <v>771797.72964654048</v>
      </c>
      <c r="D9" s="8" t="s">
        <v>3</v>
      </c>
      <c r="E9" s="1"/>
    </row>
    <row r="10" spans="1:5" ht="15" customHeight="1" x14ac:dyDescent="0.25">
      <c r="A10" s="1"/>
      <c r="B10" s="60" t="s">
        <v>9</v>
      </c>
      <c r="C10" s="9">
        <f>-SUM(C8:C9)*'Fane 5. Individuelt eff. krav'!G9</f>
        <v>0</v>
      </c>
      <c r="D10" s="8" t="s">
        <v>3</v>
      </c>
      <c r="E10" s="1"/>
    </row>
    <row r="11" spans="1:5" ht="15" customHeight="1" x14ac:dyDescent="0.25">
      <c r="A11" s="1"/>
      <c r="B11" s="60" t="s">
        <v>23</v>
      </c>
      <c r="C11" s="9">
        <f>-'Fane 4.1. Gen. krav - drift'!G58</f>
        <v>-251239.81253656061</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22200269.424035277</v>
      </c>
      <c r="D13" s="11" t="s">
        <v>3</v>
      </c>
      <c r="E13" s="1"/>
    </row>
    <row r="14" spans="1:5" x14ac:dyDescent="0.25">
      <c r="A14" s="1"/>
      <c r="B14" s="67" t="s">
        <v>11</v>
      </c>
      <c r="C14" s="68"/>
      <c r="D14" s="19"/>
      <c r="E14" s="1"/>
    </row>
    <row r="15" spans="1:5" ht="15" customHeight="1" x14ac:dyDescent="0.25">
      <c r="A15" s="1"/>
      <c r="B15" s="61" t="s">
        <v>11</v>
      </c>
      <c r="C15" s="10">
        <f>'Fane 6. Ikke-påvirkelige omk.'!C15*(1+'Fane 13. Nøgletal'!C15)^3</f>
        <v>19790524.907119982</v>
      </c>
      <c r="D15" s="11" t="s">
        <v>3</v>
      </c>
      <c r="E15" s="1"/>
    </row>
    <row r="16" spans="1:5" x14ac:dyDescent="0.25">
      <c r="A16" s="1"/>
      <c r="B16" s="67" t="s">
        <v>128</v>
      </c>
      <c r="C16" s="68"/>
      <c r="D16" s="19"/>
      <c r="E16" s="1"/>
    </row>
    <row r="17" spans="1:5" x14ac:dyDescent="0.25">
      <c r="A17" s="1"/>
      <c r="B17" s="61" t="s">
        <v>129</v>
      </c>
      <c r="C17" s="10">
        <v>0</v>
      </c>
      <c r="D17" s="11" t="s">
        <v>3</v>
      </c>
      <c r="E17" s="1"/>
    </row>
    <row r="18" spans="1:5" x14ac:dyDescent="0.25">
      <c r="A18" s="1"/>
      <c r="B18" s="25" t="s">
        <v>153</v>
      </c>
      <c r="C18" s="68"/>
      <c r="D18" s="19"/>
      <c r="E18" s="1"/>
    </row>
    <row r="19" spans="1:5" x14ac:dyDescent="0.25">
      <c r="A19" s="1"/>
      <c r="B19" s="76" t="s">
        <v>154</v>
      </c>
      <c r="C19" s="10">
        <f>'Fane 8. Skattesagen'!G15</f>
        <v>0</v>
      </c>
      <c r="D19" s="11" t="s">
        <v>3</v>
      </c>
      <c r="E19" s="1"/>
    </row>
    <row r="20" spans="1:5" x14ac:dyDescent="0.25">
      <c r="A20" s="1"/>
      <c r="B20" s="67" t="s">
        <v>170</v>
      </c>
      <c r="C20" s="12">
        <f>SUM(C13,C15,C17,C19)</f>
        <v>41990794.331155255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lOwPEde100OU4HuKiup+weOCX7PWU1lHossP69siwPvgDpuShw2Hw19IASLpXdpOtS2l2itDreQLI5R2tK1hWg==" saltValue="vdxfCZv2C2ZjHZWSh6ylv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171</v>
      </c>
      <c r="C3" s="107"/>
      <c r="D3" s="107"/>
      <c r="E3" s="107"/>
      <c r="F3" s="107"/>
      <c r="G3" s="1"/>
    </row>
    <row r="4" spans="1:7" ht="29.2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7" t="s">
        <v>172</v>
      </c>
      <c r="C8" s="68"/>
      <c r="D8" s="68"/>
      <c r="E8" s="68"/>
      <c r="F8" s="19"/>
      <c r="G8" s="1"/>
    </row>
    <row r="9" spans="1:7" x14ac:dyDescent="0.25">
      <c r="A9" s="1"/>
      <c r="B9" s="108" t="s">
        <v>22</v>
      </c>
      <c r="C9" s="109"/>
      <c r="D9" s="110"/>
      <c r="E9" s="7">
        <v>20854351.324497886</v>
      </c>
      <c r="F9" s="8" t="s">
        <v>3</v>
      </c>
      <c r="G9" s="1"/>
    </row>
    <row r="10" spans="1:7" ht="15" customHeight="1" x14ac:dyDescent="0.25">
      <c r="A10" s="1"/>
      <c r="B10" s="101" t="s">
        <v>35</v>
      </c>
      <c r="C10" s="102"/>
      <c r="D10" s="103"/>
      <c r="E10" s="9">
        <v>0</v>
      </c>
      <c r="F10" s="8" t="s">
        <v>3</v>
      </c>
      <c r="G10" s="1"/>
    </row>
    <row r="11" spans="1:7" ht="15" customHeight="1" x14ac:dyDescent="0.25">
      <c r="A11" s="1"/>
      <c r="B11" s="101" t="s">
        <v>36</v>
      </c>
      <c r="C11" s="102"/>
      <c r="D11" s="103"/>
      <c r="E11" s="9">
        <v>0</v>
      </c>
      <c r="F11" s="8" t="s">
        <v>3</v>
      </c>
      <c r="G11" s="1"/>
    </row>
    <row r="12" spans="1:7" x14ac:dyDescent="0.25">
      <c r="A12" s="1"/>
      <c r="B12" s="101" t="s">
        <v>26</v>
      </c>
      <c r="C12" s="102"/>
      <c r="D12" s="103"/>
      <c r="E12" s="9">
        <v>0</v>
      </c>
      <c r="F12" s="8" t="s">
        <v>3</v>
      </c>
      <c r="G12" s="1"/>
    </row>
    <row r="13" spans="1:7" x14ac:dyDescent="0.25">
      <c r="A13" s="1"/>
      <c r="B13" s="101" t="s">
        <v>25</v>
      </c>
      <c r="C13" s="102"/>
      <c r="D13" s="103"/>
      <c r="E13" s="9">
        <v>0</v>
      </c>
      <c r="F13" s="8" t="s">
        <v>3</v>
      </c>
      <c r="G13" s="1"/>
    </row>
    <row r="14" spans="1:7" x14ac:dyDescent="0.25">
      <c r="A14" s="1"/>
      <c r="B14" s="101" t="s">
        <v>114</v>
      </c>
      <c r="C14" s="102"/>
      <c r="D14" s="103"/>
      <c r="E14" s="9">
        <v>0</v>
      </c>
      <c r="F14" s="8" t="s">
        <v>3</v>
      </c>
      <c r="G14" s="1"/>
    </row>
    <row r="15" spans="1:7" x14ac:dyDescent="0.25">
      <c r="A15" s="1"/>
      <c r="B15" s="101" t="s">
        <v>115</v>
      </c>
      <c r="C15" s="102"/>
      <c r="D15" s="103"/>
      <c r="E15" s="9">
        <v>0</v>
      </c>
      <c r="F15" s="8" t="s">
        <v>3</v>
      </c>
      <c r="G15" s="1"/>
    </row>
    <row r="16" spans="1:7" x14ac:dyDescent="0.25">
      <c r="A16" s="1"/>
      <c r="B16" s="101" t="s">
        <v>17</v>
      </c>
      <c r="C16" s="102"/>
      <c r="D16" s="103"/>
      <c r="E16" s="9">
        <v>254423.08615887424</v>
      </c>
      <c r="F16" s="8" t="s">
        <v>3</v>
      </c>
      <c r="G16" s="30"/>
    </row>
    <row r="17" spans="1:7" x14ac:dyDescent="0.25">
      <c r="A17" s="1"/>
      <c r="B17" s="101" t="s">
        <v>9</v>
      </c>
      <c r="C17" s="102"/>
      <c r="D17" s="103"/>
      <c r="E17" s="9">
        <v>-422175.48821313522</v>
      </c>
      <c r="F17" s="8" t="s">
        <v>3</v>
      </c>
      <c r="G17" s="1"/>
    </row>
    <row r="18" spans="1:7" x14ac:dyDescent="0.25">
      <c r="A18" s="1"/>
      <c r="B18" s="101" t="s">
        <v>23</v>
      </c>
      <c r="C18" s="102"/>
      <c r="D18" s="103"/>
      <c r="E18" s="9">
        <v>-236818.69896643946</v>
      </c>
      <c r="F18" s="8" t="s">
        <v>3</v>
      </c>
      <c r="G18" s="1"/>
    </row>
    <row r="19" spans="1:7" x14ac:dyDescent="0.25">
      <c r="A19" s="1"/>
      <c r="B19" s="101" t="s">
        <v>24</v>
      </c>
      <c r="C19" s="102"/>
      <c r="D19" s="103"/>
      <c r="E19" s="9">
        <v>-307841.17898463819</v>
      </c>
      <c r="F19" s="8" t="s">
        <v>3</v>
      </c>
      <c r="G19" s="1"/>
    </row>
    <row r="20" spans="1:7" x14ac:dyDescent="0.25">
      <c r="A20" s="1"/>
      <c r="B20" s="114" t="s">
        <v>19</v>
      </c>
      <c r="C20" s="115"/>
      <c r="D20" s="116"/>
      <c r="E20" s="31">
        <f>SUM(E9:E19)</f>
        <v>20141939.044492546</v>
      </c>
      <c r="F20" s="33" t="s">
        <v>3</v>
      </c>
      <c r="G20" s="1"/>
    </row>
    <row r="21" spans="1:7" x14ac:dyDescent="0.25">
      <c r="A21" s="1"/>
      <c r="B21" s="67" t="s">
        <v>11</v>
      </c>
      <c r="C21" s="68"/>
      <c r="D21" s="68"/>
      <c r="E21" s="68"/>
      <c r="F21" s="19"/>
      <c r="G21" s="1"/>
    </row>
    <row r="22" spans="1:7" x14ac:dyDescent="0.25">
      <c r="A22" s="1"/>
      <c r="B22" s="104" t="s">
        <v>11</v>
      </c>
      <c r="C22" s="105"/>
      <c r="D22" s="106"/>
      <c r="E22" s="10">
        <v>16255810.599765392</v>
      </c>
      <c r="F22" s="11" t="s">
        <v>3</v>
      </c>
      <c r="G22" s="1"/>
    </row>
    <row r="23" spans="1:7" ht="15" customHeight="1" x14ac:dyDescent="0.25">
      <c r="A23" s="1"/>
      <c r="B23" s="120" t="s">
        <v>80</v>
      </c>
      <c r="C23" s="121"/>
      <c r="D23" s="121"/>
      <c r="E23" s="68"/>
      <c r="F23" s="68"/>
      <c r="G23" s="1"/>
    </row>
    <row r="24" spans="1:7" ht="14.25" customHeight="1" x14ac:dyDescent="0.25">
      <c r="A24" s="1"/>
      <c r="B24" s="111" t="s">
        <v>76</v>
      </c>
      <c r="C24" s="112"/>
      <c r="D24" s="113"/>
      <c r="E24" s="9">
        <v>0</v>
      </c>
      <c r="F24" s="8" t="s">
        <v>3</v>
      </c>
      <c r="G24" s="1"/>
    </row>
    <row r="25" spans="1:7" ht="14.25" customHeight="1" x14ac:dyDescent="0.25">
      <c r="A25" s="1"/>
      <c r="B25" s="111" t="s">
        <v>77</v>
      </c>
      <c r="C25" s="112"/>
      <c r="D25" s="113"/>
      <c r="E25" s="9">
        <v>0</v>
      </c>
      <c r="F25" s="8" t="s">
        <v>3</v>
      </c>
      <c r="G25" s="1"/>
    </row>
    <row r="26" spans="1:7" x14ac:dyDescent="0.25">
      <c r="A26" s="1"/>
      <c r="B26" s="117" t="s">
        <v>81</v>
      </c>
      <c r="C26" s="118"/>
      <c r="D26" s="118"/>
      <c r="E26" s="10">
        <v>0</v>
      </c>
      <c r="F26" s="11" t="s">
        <v>3</v>
      </c>
      <c r="G26" s="1"/>
    </row>
    <row r="27" spans="1:7" x14ac:dyDescent="0.25">
      <c r="A27" s="1"/>
      <c r="B27" s="67" t="s">
        <v>128</v>
      </c>
      <c r="C27" s="68"/>
      <c r="D27" s="68"/>
      <c r="E27" s="68"/>
      <c r="F27" s="19"/>
      <c r="G27" s="1"/>
    </row>
    <row r="28" spans="1:7" ht="15" customHeight="1" x14ac:dyDescent="0.25">
      <c r="A28" s="1"/>
      <c r="B28" s="117" t="s">
        <v>129</v>
      </c>
      <c r="C28" s="118"/>
      <c r="D28" s="119"/>
      <c r="E28" s="10">
        <v>0</v>
      </c>
      <c r="F28" s="11" t="s">
        <v>3</v>
      </c>
      <c r="G28" s="1"/>
    </row>
    <row r="29" spans="1:7" x14ac:dyDescent="0.25">
      <c r="A29" s="1"/>
      <c r="B29" s="67" t="s">
        <v>159</v>
      </c>
      <c r="C29" s="68"/>
      <c r="D29" s="68"/>
      <c r="E29" s="68"/>
      <c r="F29" s="19"/>
      <c r="G29" s="1"/>
    </row>
    <row r="30" spans="1:7" ht="15.75" customHeight="1" x14ac:dyDescent="0.25">
      <c r="A30" s="1"/>
      <c r="B30" s="104" t="s">
        <v>160</v>
      </c>
      <c r="C30" s="105"/>
      <c r="D30" s="106"/>
      <c r="E30" s="10">
        <v>0</v>
      </c>
      <c r="F30" s="11" t="s">
        <v>3</v>
      </c>
      <c r="G30" s="1"/>
    </row>
    <row r="31" spans="1:7" ht="15.75" customHeight="1" x14ac:dyDescent="0.25">
      <c r="A31" s="1"/>
      <c r="B31" s="122" t="s">
        <v>153</v>
      </c>
      <c r="C31" s="123"/>
      <c r="D31" s="123"/>
      <c r="E31" s="123"/>
      <c r="F31" s="124"/>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36397749.64425794</v>
      </c>
      <c r="F33" s="13" t="s">
        <v>3</v>
      </c>
      <c r="G33" s="1"/>
    </row>
    <row r="34" spans="1:7" ht="27.75" customHeight="1" x14ac:dyDescent="0.25">
      <c r="A34" s="1"/>
      <c r="B34" s="111" t="s">
        <v>173</v>
      </c>
      <c r="C34" s="112"/>
      <c r="D34" s="112"/>
      <c r="E34" s="112"/>
      <c r="F34" s="11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Wu2KSrNi/8j8NuLaBFZ/4u6zSz8Ae7yCfO5pJM2vtqQQgv4CLgH5iVmyOtEltmGURS/a61F9hDfszU8g+VBZQ==" saltValue="jZ86NMNKBIEko/nqvOxdUA==" spinCount="100000" sheet="1" objects="1" scenarios="1"/>
  <mergeCells count="22">
    <mergeCell ref="B34:F34"/>
    <mergeCell ref="B16:D16"/>
    <mergeCell ref="B17:D17"/>
    <mergeCell ref="B18:D18"/>
    <mergeCell ref="B19:D19"/>
    <mergeCell ref="B20:D20"/>
    <mergeCell ref="B28:D28"/>
    <mergeCell ref="B23:D23"/>
    <mergeCell ref="B24:D24"/>
    <mergeCell ref="B25:D25"/>
    <mergeCell ref="B26:D26"/>
    <mergeCell ref="B30:D30"/>
    <mergeCell ref="B31:F31"/>
    <mergeCell ref="B13:D13"/>
    <mergeCell ref="B14:D14"/>
    <mergeCell ref="B15:D15"/>
    <mergeCell ref="B22:D22"/>
    <mergeCell ref="B3:F4"/>
    <mergeCell ref="B9:D9"/>
    <mergeCell ref="B10:D10"/>
    <mergeCell ref="B11:D11"/>
    <mergeCell ref="B12:D12"/>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39" customWidth="1"/>
    <col min="8" max="8" width="3.7109375" style="2" customWidth="1"/>
    <col min="9" max="9" width="6.7109375" style="2" customWidth="1"/>
    <col min="10" max="16384" width="9" style="2"/>
  </cols>
  <sheetData>
    <row r="1" spans="1:9" ht="15" customHeight="1" x14ac:dyDescent="0.25">
      <c r="A1" s="1"/>
      <c r="B1" s="107" t="s">
        <v>98</v>
      </c>
      <c r="C1" s="107"/>
      <c r="D1" s="107"/>
      <c r="E1" s="107"/>
      <c r="F1" s="107"/>
      <c r="G1" s="107"/>
      <c r="H1" s="107"/>
      <c r="I1" s="1"/>
    </row>
    <row r="2" spans="1:9" ht="15" customHeight="1" x14ac:dyDescent="0.25">
      <c r="A2" s="1"/>
      <c r="B2" s="107"/>
      <c r="C2" s="107"/>
      <c r="D2" s="107"/>
      <c r="E2" s="107"/>
      <c r="F2" s="107"/>
      <c r="G2" s="107"/>
      <c r="H2" s="107"/>
      <c r="I2" s="1"/>
    </row>
    <row r="3" spans="1:9" ht="15" customHeight="1" x14ac:dyDescent="0.25">
      <c r="A3" s="1"/>
      <c r="B3" s="107"/>
      <c r="C3" s="107"/>
      <c r="D3" s="107"/>
      <c r="E3" s="107"/>
      <c r="F3" s="107"/>
      <c r="G3" s="107"/>
      <c r="H3" s="107"/>
      <c r="I3" s="1"/>
    </row>
    <row r="4" spans="1:9" x14ac:dyDescent="0.25">
      <c r="A4" s="1"/>
      <c r="B4" s="122" t="s">
        <v>49</v>
      </c>
      <c r="C4" s="123"/>
      <c r="D4" s="123"/>
      <c r="E4" s="123"/>
      <c r="F4" s="123"/>
      <c r="G4" s="123"/>
      <c r="H4" s="124"/>
      <c r="I4" s="1"/>
    </row>
    <row r="5" spans="1:9" x14ac:dyDescent="0.25">
      <c r="A5" s="1"/>
      <c r="B5" s="125" t="s">
        <v>38</v>
      </c>
      <c r="C5" s="126"/>
      <c r="D5" s="126"/>
      <c r="E5" s="126"/>
      <c r="F5" s="127"/>
      <c r="G5" s="54">
        <v>8887584.3954878915</v>
      </c>
      <c r="H5" s="14" t="s">
        <v>3</v>
      </c>
      <c r="I5" s="1"/>
    </row>
    <row r="6" spans="1:9" x14ac:dyDescent="0.25">
      <c r="A6" s="1"/>
      <c r="B6" s="125" t="s">
        <v>39</v>
      </c>
      <c r="C6" s="126"/>
      <c r="D6" s="126"/>
      <c r="E6" s="126"/>
      <c r="F6" s="127"/>
      <c r="G6" s="54">
        <f>G5*'Fane 13. Nøgletal'!C31</f>
        <v>177751.68790975783</v>
      </c>
      <c r="H6" s="14" t="s">
        <v>3</v>
      </c>
      <c r="I6" s="1"/>
    </row>
    <row r="7" spans="1:9" x14ac:dyDescent="0.25">
      <c r="A7" s="1"/>
      <c r="B7" s="67"/>
      <c r="C7" s="68"/>
      <c r="D7" s="68"/>
      <c r="E7" s="68"/>
      <c r="F7" s="68"/>
      <c r="G7" s="55"/>
      <c r="H7" s="19"/>
      <c r="I7" s="1"/>
    </row>
    <row r="8" spans="1:9" x14ac:dyDescent="0.25">
      <c r="A8" s="1"/>
      <c r="B8" s="1"/>
      <c r="C8" s="1"/>
      <c r="D8" s="1"/>
      <c r="E8" s="1"/>
      <c r="F8" s="1"/>
      <c r="G8" s="56"/>
      <c r="H8" s="1"/>
      <c r="I8" s="1"/>
    </row>
    <row r="9" spans="1:9" x14ac:dyDescent="0.25">
      <c r="A9" s="1"/>
      <c r="B9" s="122" t="s">
        <v>50</v>
      </c>
      <c r="C9" s="123"/>
      <c r="D9" s="123"/>
      <c r="E9" s="123"/>
      <c r="F9" s="123"/>
      <c r="G9" s="128"/>
      <c r="H9" s="124"/>
      <c r="I9" s="1"/>
    </row>
    <row r="10" spans="1:9" x14ac:dyDescent="0.25">
      <c r="A10" s="1"/>
      <c r="B10" s="125" t="s">
        <v>40</v>
      </c>
      <c r="C10" s="126"/>
      <c r="D10" s="126"/>
      <c r="E10" s="126"/>
      <c r="F10" s="127"/>
      <c r="G10" s="54">
        <f>(G5-G6)*(1+'Fane 13. Nøgletal'!C9)</f>
        <v>8820447.5829643756</v>
      </c>
      <c r="H10" s="14" t="s">
        <v>3</v>
      </c>
      <c r="I10" s="1"/>
    </row>
    <row r="11" spans="1:9" x14ac:dyDescent="0.25">
      <c r="A11" s="1"/>
      <c r="B11" s="129" t="s">
        <v>41</v>
      </c>
      <c r="C11" s="130"/>
      <c r="D11" s="130"/>
      <c r="E11" s="130"/>
      <c r="F11" s="131"/>
      <c r="G11" s="54">
        <v>0</v>
      </c>
      <c r="H11" s="14" t="s">
        <v>3</v>
      </c>
      <c r="I11" s="1"/>
    </row>
    <row r="12" spans="1:9" x14ac:dyDescent="0.25">
      <c r="A12" s="1"/>
      <c r="B12" s="125" t="s">
        <v>42</v>
      </c>
      <c r="C12" s="126"/>
      <c r="D12" s="126"/>
      <c r="E12" s="126"/>
      <c r="F12" s="127"/>
      <c r="G12" s="54">
        <f>(G10+G11)*'Fane 13. Nøgletal'!C31</f>
        <v>176408.95165928753</v>
      </c>
      <c r="H12" s="14" t="s">
        <v>3</v>
      </c>
      <c r="I12" s="1"/>
    </row>
    <row r="13" spans="1:9" x14ac:dyDescent="0.25">
      <c r="A13" s="1"/>
      <c r="B13" s="67"/>
      <c r="C13" s="68"/>
      <c r="D13" s="68"/>
      <c r="E13" s="68"/>
      <c r="F13" s="68"/>
      <c r="G13" s="55"/>
      <c r="H13" s="19"/>
      <c r="I13" s="1"/>
    </row>
    <row r="14" spans="1:9" x14ac:dyDescent="0.25">
      <c r="A14" s="1"/>
      <c r="B14" s="1"/>
      <c r="C14" s="1"/>
      <c r="D14" s="1"/>
      <c r="E14" s="1"/>
      <c r="F14" s="1"/>
      <c r="G14" s="56"/>
      <c r="H14" s="1"/>
      <c r="I14" s="1"/>
    </row>
    <row r="15" spans="1:9" x14ac:dyDescent="0.25">
      <c r="A15" s="1"/>
      <c r="B15" s="122" t="s">
        <v>51</v>
      </c>
      <c r="C15" s="123"/>
      <c r="D15" s="123"/>
      <c r="E15" s="123"/>
      <c r="F15" s="123"/>
      <c r="G15" s="128"/>
      <c r="H15" s="124"/>
      <c r="I15" s="1"/>
    </row>
    <row r="16" spans="1:9" x14ac:dyDescent="0.25">
      <c r="A16" s="1"/>
      <c r="B16" s="125" t="s">
        <v>43</v>
      </c>
      <c r="C16" s="126"/>
      <c r="D16" s="126"/>
      <c r="E16" s="126"/>
      <c r="F16" s="127"/>
      <c r="G16" s="54">
        <f>(G10+G11-G12)*(1+'Fane 13. Nøgletal'!C11)</f>
        <v>8790122.884174142</v>
      </c>
      <c r="H16" s="14" t="s">
        <v>3</v>
      </c>
      <c r="I16" s="1"/>
    </row>
    <row r="17" spans="1:9" x14ac:dyDescent="0.25">
      <c r="A17" s="1"/>
      <c r="B17" s="125" t="s">
        <v>108</v>
      </c>
      <c r="C17" s="126"/>
      <c r="D17" s="126"/>
      <c r="E17" s="126"/>
      <c r="F17" s="127"/>
      <c r="G17" s="54">
        <v>-39643.084544382946</v>
      </c>
      <c r="H17" s="14" t="s">
        <v>3</v>
      </c>
      <c r="I17" s="1"/>
    </row>
    <row r="18" spans="1:9" x14ac:dyDescent="0.25">
      <c r="A18" s="1"/>
      <c r="B18" s="129" t="s">
        <v>44</v>
      </c>
      <c r="C18" s="130"/>
      <c r="D18" s="130"/>
      <c r="E18" s="130"/>
      <c r="F18" s="131"/>
      <c r="G18" s="54">
        <v>1993874.2370927196</v>
      </c>
      <c r="H18" s="14" t="s">
        <v>3</v>
      </c>
      <c r="I18" s="1"/>
    </row>
    <row r="19" spans="1:9" x14ac:dyDescent="0.25">
      <c r="A19" s="1"/>
      <c r="B19" s="125" t="s">
        <v>45</v>
      </c>
      <c r="C19" s="126"/>
      <c r="D19" s="126"/>
      <c r="E19" s="126"/>
      <c r="F19" s="127"/>
      <c r="G19" s="54">
        <f>SUM(G16:G18)*'Fane 13. Nøgletal'!C31</f>
        <v>214887.08073444958</v>
      </c>
      <c r="H19" s="14" t="s">
        <v>3</v>
      </c>
      <c r="I19" s="1"/>
    </row>
    <row r="20" spans="1:9" x14ac:dyDescent="0.25">
      <c r="A20" s="1"/>
      <c r="B20" s="67"/>
      <c r="C20" s="68"/>
      <c r="D20" s="68"/>
      <c r="E20" s="68"/>
      <c r="F20" s="68"/>
      <c r="G20" s="55"/>
      <c r="H20" s="19"/>
      <c r="I20" s="1"/>
    </row>
    <row r="21" spans="1:9" x14ac:dyDescent="0.25">
      <c r="A21" s="1"/>
      <c r="B21" s="1"/>
      <c r="C21" s="1"/>
      <c r="D21" s="1"/>
      <c r="E21" s="1"/>
      <c r="F21" s="1"/>
      <c r="G21" s="56"/>
      <c r="H21" s="1"/>
      <c r="I21" s="1"/>
    </row>
    <row r="22" spans="1:9" x14ac:dyDescent="0.25">
      <c r="A22" s="1"/>
      <c r="B22" s="122" t="s">
        <v>52</v>
      </c>
      <c r="C22" s="123"/>
      <c r="D22" s="123"/>
      <c r="E22" s="123"/>
      <c r="F22" s="123"/>
      <c r="G22" s="128"/>
      <c r="H22" s="124"/>
      <c r="I22" s="1"/>
    </row>
    <row r="23" spans="1:9" x14ac:dyDescent="0.25">
      <c r="A23" s="1"/>
      <c r="B23" s="125" t="s">
        <v>46</v>
      </c>
      <c r="C23" s="126"/>
      <c r="D23" s="126"/>
      <c r="E23" s="126"/>
      <c r="F23" s="127"/>
      <c r="G23" s="54">
        <f>(SUM(G16:G18)-G19)*(1+'Fane 13. Nøgletal'!C11)</f>
        <v>10707414.947544226</v>
      </c>
      <c r="H23" s="14" t="s">
        <v>3</v>
      </c>
      <c r="I23" s="1"/>
    </row>
    <row r="24" spans="1:9" x14ac:dyDescent="0.25">
      <c r="A24" s="1"/>
      <c r="B24" s="129" t="s">
        <v>47</v>
      </c>
      <c r="C24" s="130"/>
      <c r="D24" s="130"/>
      <c r="E24" s="130"/>
      <c r="F24" s="131"/>
      <c r="G24" s="54">
        <v>0</v>
      </c>
      <c r="H24" s="14" t="s">
        <v>3</v>
      </c>
      <c r="I24" s="1"/>
    </row>
    <row r="25" spans="1:9" x14ac:dyDescent="0.25">
      <c r="A25" s="1"/>
      <c r="B25" s="125" t="s">
        <v>48</v>
      </c>
      <c r="C25" s="126"/>
      <c r="D25" s="126"/>
      <c r="E25" s="126"/>
      <c r="F25" s="127"/>
      <c r="G25" s="54">
        <f>(G23+G24)*'Fane 13. Nøgletal'!C31</f>
        <v>214148.29895088452</v>
      </c>
      <c r="H25" s="14" t="s">
        <v>3</v>
      </c>
      <c r="I25" s="1"/>
    </row>
    <row r="26" spans="1:9" x14ac:dyDescent="0.25">
      <c r="A26" s="1"/>
      <c r="B26" s="67"/>
      <c r="C26" s="68"/>
      <c r="D26" s="68"/>
      <c r="E26" s="68"/>
      <c r="F26" s="68"/>
      <c r="G26" s="55"/>
      <c r="H26" s="19"/>
      <c r="I26" s="1"/>
    </row>
    <row r="27" spans="1:9" x14ac:dyDescent="0.25">
      <c r="A27" s="1"/>
      <c r="B27" s="1"/>
      <c r="C27" s="1"/>
      <c r="D27" s="1"/>
      <c r="E27" s="1"/>
      <c r="F27" s="1"/>
      <c r="G27" s="56"/>
      <c r="H27" s="1"/>
      <c r="I27" s="1"/>
    </row>
    <row r="28" spans="1:9" x14ac:dyDescent="0.25">
      <c r="A28" s="1"/>
      <c r="B28" s="122" t="s">
        <v>132</v>
      </c>
      <c r="C28" s="123"/>
      <c r="D28" s="123"/>
      <c r="E28" s="123"/>
      <c r="F28" s="123"/>
      <c r="G28" s="128"/>
      <c r="H28" s="124"/>
      <c r="I28" s="1"/>
    </row>
    <row r="29" spans="1:9" x14ac:dyDescent="0.25">
      <c r="A29" s="1"/>
      <c r="B29" s="125" t="s">
        <v>55</v>
      </c>
      <c r="C29" s="126"/>
      <c r="D29" s="126"/>
      <c r="E29" s="126"/>
      <c r="F29" s="127"/>
      <c r="G29" s="54">
        <f>(G23+G24-G25)*(1+'Fane 13. Nøgletal'!C13)</f>
        <v>10621284.501706181</v>
      </c>
      <c r="H29" s="14" t="s">
        <v>3</v>
      </c>
      <c r="I29" s="1"/>
    </row>
    <row r="30" spans="1:9" x14ac:dyDescent="0.25">
      <c r="A30" s="1"/>
      <c r="B30" s="125" t="s">
        <v>121</v>
      </c>
      <c r="C30" s="126"/>
      <c r="D30" s="126"/>
      <c r="E30" s="126"/>
      <c r="F30" s="127"/>
      <c r="G30" s="54">
        <v>1315671.31923948</v>
      </c>
      <c r="H30" s="14" t="s">
        <v>3</v>
      </c>
      <c r="I30" s="1"/>
    </row>
    <row r="31" spans="1:9" x14ac:dyDescent="0.25">
      <c r="A31" s="1"/>
      <c r="B31" s="125" t="s">
        <v>126</v>
      </c>
      <c r="C31" s="126"/>
      <c r="D31" s="126"/>
      <c r="E31" s="126"/>
      <c r="F31" s="127"/>
      <c r="G31" s="54">
        <f>(G29+G30)*'Fane 13. Nøgletal'!C31</f>
        <v>238739.11641891324</v>
      </c>
      <c r="H31" s="14" t="s">
        <v>3</v>
      </c>
      <c r="I31" s="1"/>
    </row>
    <row r="32" spans="1:9" x14ac:dyDescent="0.25">
      <c r="A32" s="1"/>
      <c r="B32" s="67"/>
      <c r="C32" s="68"/>
      <c r="D32" s="68"/>
      <c r="E32" s="68"/>
      <c r="F32" s="68"/>
      <c r="G32" s="55"/>
      <c r="H32" s="19"/>
      <c r="I32" s="1"/>
    </row>
    <row r="33" spans="1:9" x14ac:dyDescent="0.25">
      <c r="A33" s="1"/>
      <c r="B33" s="1"/>
      <c r="C33" s="1"/>
      <c r="D33" s="1"/>
      <c r="E33" s="1"/>
      <c r="F33" s="1"/>
      <c r="G33" s="56"/>
      <c r="H33" s="1"/>
      <c r="I33" s="1"/>
    </row>
    <row r="34" spans="1:9" x14ac:dyDescent="0.25">
      <c r="A34" s="1"/>
      <c r="B34" s="122" t="s">
        <v>133</v>
      </c>
      <c r="C34" s="123"/>
      <c r="D34" s="123"/>
      <c r="E34" s="123"/>
      <c r="F34" s="123"/>
      <c r="G34" s="128"/>
      <c r="H34" s="124"/>
      <c r="I34" s="1"/>
    </row>
    <row r="35" spans="1:9" x14ac:dyDescent="0.25">
      <c r="A35" s="1"/>
      <c r="B35" s="125" t="s">
        <v>74</v>
      </c>
      <c r="C35" s="126"/>
      <c r="D35" s="126"/>
      <c r="E35" s="126"/>
      <c r="F35" s="127"/>
      <c r="G35" s="54">
        <f>(G29+G30-G31)*(1+'Fane 13. Nøgletal'!C13)</f>
        <v>11840934.948321974</v>
      </c>
      <c r="H35" s="14" t="s">
        <v>3</v>
      </c>
      <c r="I35" s="1"/>
    </row>
    <row r="36" spans="1:9" x14ac:dyDescent="0.25">
      <c r="A36" s="1"/>
      <c r="B36" s="125" t="s">
        <v>152</v>
      </c>
      <c r="C36" s="126"/>
      <c r="D36" s="126"/>
      <c r="E36" s="126"/>
      <c r="F36" s="127"/>
      <c r="G36" s="54">
        <f>('Fane 3. Omkostninger i ØR2022'!E10+'Fane 3. Omkostninger i ØR2022'!E12+'Fane 3. Omkostninger i ØR2022'!E14)*(1+'Fane 13. Nøgletal'!C14)</f>
        <v>0</v>
      </c>
      <c r="H36" s="14" t="s">
        <v>3</v>
      </c>
      <c r="I36" s="1"/>
    </row>
    <row r="37" spans="1:9" x14ac:dyDescent="0.25">
      <c r="A37" s="1"/>
      <c r="B37" s="125" t="s">
        <v>134</v>
      </c>
      <c r="C37" s="126"/>
      <c r="D37" s="126"/>
      <c r="E37" s="126"/>
      <c r="F37" s="127"/>
      <c r="G37" s="54">
        <f>(G35+G36)*'Fane 13. Nøgletal'!C31</f>
        <v>236818.69896643949</v>
      </c>
      <c r="H37" s="14" t="s">
        <v>3</v>
      </c>
      <c r="I37" s="1"/>
    </row>
    <row r="38" spans="1:9" x14ac:dyDescent="0.25">
      <c r="A38" s="1"/>
      <c r="B38" s="67"/>
      <c r="C38" s="68"/>
      <c r="D38" s="68"/>
      <c r="E38" s="68"/>
      <c r="F38" s="68"/>
      <c r="G38" s="55"/>
      <c r="H38" s="19"/>
      <c r="I38" s="1"/>
    </row>
    <row r="39" spans="1:9" x14ac:dyDescent="0.25">
      <c r="A39" s="1"/>
      <c r="B39" s="1"/>
      <c r="C39" s="1"/>
      <c r="D39" s="1"/>
      <c r="E39" s="1"/>
      <c r="F39" s="1"/>
      <c r="G39" s="56"/>
      <c r="H39" s="1"/>
      <c r="I39" s="1"/>
    </row>
    <row r="40" spans="1:9" x14ac:dyDescent="0.25">
      <c r="A40" s="1"/>
      <c r="B40" s="122" t="s">
        <v>198</v>
      </c>
      <c r="C40" s="123"/>
      <c r="D40" s="123"/>
      <c r="E40" s="123"/>
      <c r="F40" s="123"/>
      <c r="G40" s="128"/>
      <c r="H40" s="124"/>
      <c r="I40" s="1"/>
    </row>
    <row r="41" spans="1:9" x14ac:dyDescent="0.25">
      <c r="A41" s="1"/>
      <c r="B41" s="125" t="s">
        <v>73</v>
      </c>
      <c r="C41" s="126"/>
      <c r="D41" s="126"/>
      <c r="E41" s="126"/>
      <c r="F41" s="127"/>
      <c r="G41" s="54">
        <f>(G35+G36-G37)*(1+'Fane 13. Nøgletal'!C15)</f>
        <v>12017222.787832592</v>
      </c>
      <c r="H41" s="14" t="s">
        <v>3</v>
      </c>
      <c r="I41" s="1"/>
    </row>
    <row r="42" spans="1:9" x14ac:dyDescent="0.25">
      <c r="A42" s="1"/>
      <c r="B42" s="125" t="s">
        <v>197</v>
      </c>
      <c r="C42" s="126"/>
      <c r="D42" s="126"/>
      <c r="E42" s="126"/>
      <c r="F42" s="127"/>
      <c r="G42" s="54">
        <f>('Fane 2.1. Økonomisk ramme 2023'!C9+'Fane 2.1. Økonomisk ramme 2023'!C11+'Fane 2.1. Økonomisk ramme 2023'!C13)*(1+'Fane 13. Nøgletal'!C15)</f>
        <v>0</v>
      </c>
      <c r="H42" s="14" t="s">
        <v>3</v>
      </c>
      <c r="I42" s="1"/>
    </row>
    <row r="43" spans="1:9" x14ac:dyDescent="0.25">
      <c r="A43" s="1"/>
      <c r="B43" s="125" t="s">
        <v>208</v>
      </c>
      <c r="C43" s="126"/>
      <c r="D43" s="126"/>
      <c r="E43" s="126"/>
      <c r="F43" s="127"/>
      <c r="G43" s="54">
        <f>(G41+G42)*'Fane 13. Nøgletal'!C31</f>
        <v>240344.45575665185</v>
      </c>
      <c r="H43" s="14" t="s">
        <v>3</v>
      </c>
      <c r="I43" s="1"/>
    </row>
    <row r="44" spans="1:9" x14ac:dyDescent="0.25">
      <c r="A44" s="1"/>
      <c r="B44" s="67"/>
      <c r="C44" s="68"/>
      <c r="D44" s="68"/>
      <c r="E44" s="68"/>
      <c r="F44" s="68"/>
      <c r="G44" s="55"/>
      <c r="H44" s="19"/>
      <c r="I44" s="1"/>
    </row>
    <row r="45" spans="1:9" x14ac:dyDescent="0.25">
      <c r="A45" s="1"/>
      <c r="B45" s="1"/>
      <c r="C45" s="1"/>
      <c r="D45" s="1"/>
      <c r="E45" s="1"/>
      <c r="F45" s="1"/>
      <c r="G45" s="56"/>
      <c r="H45" s="1"/>
      <c r="I45" s="1"/>
    </row>
    <row r="46" spans="1:9" x14ac:dyDescent="0.25">
      <c r="A46" s="1"/>
      <c r="B46" s="122" t="s">
        <v>199</v>
      </c>
      <c r="C46" s="123"/>
      <c r="D46" s="123"/>
      <c r="E46" s="123"/>
      <c r="F46" s="123"/>
      <c r="G46" s="128"/>
      <c r="H46" s="124"/>
      <c r="I46" s="1"/>
    </row>
    <row r="47" spans="1:9" x14ac:dyDescent="0.25">
      <c r="A47" s="1"/>
      <c r="B47" s="125" t="s">
        <v>122</v>
      </c>
      <c r="C47" s="126"/>
      <c r="D47" s="126"/>
      <c r="E47" s="126"/>
      <c r="F47" s="127"/>
      <c r="G47" s="54">
        <f>(G41+G42-G43)*(1+'Fane 13. Nøgletal'!C15)</f>
        <v>12196135.200697845</v>
      </c>
      <c r="H47" s="14" t="s">
        <v>3</v>
      </c>
      <c r="I47" s="1"/>
    </row>
    <row r="48" spans="1:9" x14ac:dyDescent="0.25">
      <c r="A48" s="1"/>
      <c r="B48" s="125" t="s">
        <v>209</v>
      </c>
      <c r="C48" s="126"/>
      <c r="D48" s="126"/>
      <c r="E48" s="126"/>
      <c r="F48" s="127"/>
      <c r="G48" s="54">
        <f>(G47)*'Fane 13. Nøgletal'!C31</f>
        <v>243922.70401395691</v>
      </c>
      <c r="H48" s="14" t="s">
        <v>3</v>
      </c>
      <c r="I48" s="1"/>
    </row>
    <row r="49" spans="1:9" x14ac:dyDescent="0.25">
      <c r="A49" s="1"/>
      <c r="B49" s="67"/>
      <c r="C49" s="68"/>
      <c r="D49" s="68"/>
      <c r="E49" s="68"/>
      <c r="F49" s="68"/>
      <c r="G49" s="55"/>
      <c r="H49" s="19"/>
      <c r="I49" s="1"/>
    </row>
    <row r="50" spans="1:9" x14ac:dyDescent="0.25">
      <c r="A50" s="1"/>
      <c r="B50" s="1"/>
      <c r="C50" s="1"/>
      <c r="D50" s="1"/>
      <c r="E50" s="1"/>
      <c r="F50" s="1"/>
      <c r="G50" s="56"/>
      <c r="H50" s="1"/>
      <c r="I50" s="1"/>
    </row>
    <row r="51" spans="1:9" x14ac:dyDescent="0.25">
      <c r="A51" s="1"/>
      <c r="B51" s="122" t="s">
        <v>145</v>
      </c>
      <c r="C51" s="123"/>
      <c r="D51" s="123"/>
      <c r="E51" s="123"/>
      <c r="F51" s="123"/>
      <c r="G51" s="128"/>
      <c r="H51" s="124"/>
      <c r="I51" s="1"/>
    </row>
    <row r="52" spans="1:9" x14ac:dyDescent="0.25">
      <c r="A52" s="1"/>
      <c r="B52" s="125" t="s">
        <v>146</v>
      </c>
      <c r="C52" s="126"/>
      <c r="D52" s="126"/>
      <c r="E52" s="126"/>
      <c r="F52" s="127"/>
      <c r="G52" s="54">
        <f>(G47-G48)*(1+'Fane 13. Nøgletal'!C15)</f>
        <v>12377711.261565836</v>
      </c>
      <c r="H52" s="14" t="s">
        <v>3</v>
      </c>
      <c r="I52" s="1"/>
    </row>
    <row r="53" spans="1:9" x14ac:dyDescent="0.25">
      <c r="A53" s="1"/>
      <c r="B53" s="125" t="s">
        <v>147</v>
      </c>
      <c r="C53" s="126"/>
      <c r="D53" s="126"/>
      <c r="E53" s="126"/>
      <c r="F53" s="127"/>
      <c r="G53" s="54">
        <f>(G52)*'Fane 13. Nøgletal'!C31</f>
        <v>247554.22523131673</v>
      </c>
      <c r="H53" s="14" t="s">
        <v>3</v>
      </c>
      <c r="I53" s="1"/>
    </row>
    <row r="54" spans="1:9" x14ac:dyDescent="0.25">
      <c r="A54" s="1"/>
      <c r="B54" s="67"/>
      <c r="C54" s="68"/>
      <c r="D54" s="68"/>
      <c r="E54" s="68"/>
      <c r="F54" s="68"/>
      <c r="G54" s="55"/>
      <c r="H54" s="19"/>
      <c r="I54" s="1"/>
    </row>
    <row r="55" spans="1:9" x14ac:dyDescent="0.25">
      <c r="A55" s="1"/>
      <c r="B55" s="1"/>
      <c r="C55" s="1"/>
      <c r="D55" s="1"/>
      <c r="E55" s="1"/>
      <c r="F55" s="1"/>
      <c r="G55" s="56"/>
      <c r="H55" s="1"/>
      <c r="I55" s="1"/>
    </row>
    <row r="56" spans="1:9" x14ac:dyDescent="0.25">
      <c r="A56" s="1"/>
      <c r="B56" s="122" t="s">
        <v>174</v>
      </c>
      <c r="C56" s="123"/>
      <c r="D56" s="123"/>
      <c r="E56" s="123"/>
      <c r="F56" s="123"/>
      <c r="G56" s="128"/>
      <c r="H56" s="124"/>
      <c r="I56" s="1"/>
    </row>
    <row r="57" spans="1:9" x14ac:dyDescent="0.25">
      <c r="A57" s="1"/>
      <c r="B57" s="125" t="s">
        <v>175</v>
      </c>
      <c r="C57" s="126"/>
      <c r="D57" s="126"/>
      <c r="E57" s="126"/>
      <c r="F57" s="127"/>
      <c r="G57" s="54">
        <f>(G52-G53)*(1+'Fane 13. Nøgletal'!C15)</f>
        <v>12561990.62682803</v>
      </c>
      <c r="H57" s="14" t="s">
        <v>3</v>
      </c>
      <c r="I57" s="1"/>
    </row>
    <row r="58" spans="1:9" x14ac:dyDescent="0.25">
      <c r="A58" s="1"/>
      <c r="B58" s="125" t="s">
        <v>176</v>
      </c>
      <c r="C58" s="126"/>
      <c r="D58" s="126"/>
      <c r="E58" s="126"/>
      <c r="F58" s="127"/>
      <c r="G58" s="54">
        <f>(G57)*'Fane 13. Nøgletal'!C31</f>
        <v>251239.81253656061</v>
      </c>
      <c r="H58" s="14" t="s">
        <v>3</v>
      </c>
      <c r="I58" s="1"/>
    </row>
    <row r="59" spans="1:9" x14ac:dyDescent="0.25">
      <c r="A59" s="1"/>
      <c r="B59" s="67"/>
      <c r="C59" s="68"/>
      <c r="D59" s="68"/>
      <c r="E59" s="68"/>
      <c r="F59" s="68"/>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mlDFw2cwy8J544XzgIkf7D2vHr0ytoRYZRi8eNAEi/3s6CIDePZCCu9+TwlS+QnUse+KyyUcUYMjSY6ow89+0w==" saltValue="B8nzhV4s54p/l+scZ7fHNA==" spinCount="100000" sheet="1" objects="1" scenarios="1"/>
  <mergeCells count="38">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6:F36"/>
    <mergeCell ref="B56:H56"/>
    <mergeCell ref="B57:F57"/>
    <mergeCell ref="B47:F47"/>
    <mergeCell ref="B48:F48"/>
    <mergeCell ref="B40:H40"/>
    <mergeCell ref="B41:F41"/>
    <mergeCell ref="B43:F43"/>
    <mergeCell ref="B42:F42"/>
    <mergeCell ref="B58:F58"/>
    <mergeCell ref="B51:H51"/>
    <mergeCell ref="B52:F52"/>
    <mergeCell ref="B53:F53"/>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 defaultRowHeight="15" x14ac:dyDescent="0.25"/>
  <cols>
    <col min="1" max="1" width="4.140625" style="2" customWidth="1"/>
    <col min="2" max="5" width="9" style="2"/>
    <col min="6" max="6" width="26.140625" style="2" customWidth="1"/>
    <col min="7" max="7" width="10.28515625" style="2" customWidth="1"/>
    <col min="8" max="8" width="2.85546875" style="2" bestFit="1" customWidth="1"/>
    <col min="9" max="9" width="4.140625" style="2" customWidth="1"/>
    <col min="10" max="16384" width="9" style="2"/>
  </cols>
  <sheetData>
    <row r="1" spans="1:9" x14ac:dyDescent="0.25">
      <c r="A1" s="1"/>
      <c r="B1" s="132" t="s">
        <v>99</v>
      </c>
      <c r="C1" s="133"/>
      <c r="D1" s="133"/>
      <c r="E1" s="133"/>
      <c r="F1" s="133"/>
      <c r="G1" s="133"/>
      <c r="H1" s="133"/>
      <c r="I1" s="1"/>
    </row>
    <row r="2" spans="1:9" ht="19.899999999999999"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2" t="s">
        <v>53</v>
      </c>
      <c r="C4" s="123"/>
      <c r="D4" s="123"/>
      <c r="E4" s="123"/>
      <c r="F4" s="123"/>
      <c r="G4" s="123"/>
      <c r="H4" s="124"/>
      <c r="I4" s="1"/>
    </row>
    <row r="5" spans="1:9" x14ac:dyDescent="0.25">
      <c r="A5" s="1"/>
      <c r="B5" s="125" t="s">
        <v>56</v>
      </c>
      <c r="C5" s="126"/>
      <c r="D5" s="126"/>
      <c r="E5" s="126"/>
      <c r="F5" s="127"/>
      <c r="G5" s="54">
        <v>8348798.8533735713</v>
      </c>
      <c r="H5" s="14" t="s">
        <v>3</v>
      </c>
      <c r="I5" s="1"/>
    </row>
    <row r="6" spans="1:9" x14ac:dyDescent="0.25">
      <c r="A6" s="1"/>
      <c r="B6" s="125" t="s">
        <v>54</v>
      </c>
      <c r="C6" s="126"/>
      <c r="D6" s="126"/>
      <c r="E6" s="126"/>
      <c r="F6" s="127"/>
      <c r="G6" s="54">
        <f>G5*'Fane 13. Nøgletal'!C20</f>
        <v>75974.069565699509</v>
      </c>
      <c r="H6" s="14" t="s">
        <v>3</v>
      </c>
      <c r="I6" s="1"/>
    </row>
    <row r="7" spans="1:9" x14ac:dyDescent="0.25">
      <c r="A7" s="1"/>
      <c r="B7" s="67"/>
      <c r="C7" s="68"/>
      <c r="D7" s="68"/>
      <c r="E7" s="68"/>
      <c r="F7" s="68"/>
      <c r="G7" s="57"/>
      <c r="H7" s="19"/>
      <c r="I7" s="1"/>
    </row>
    <row r="8" spans="1:9" x14ac:dyDescent="0.25">
      <c r="A8" s="1"/>
      <c r="B8" s="1"/>
      <c r="C8" s="1"/>
      <c r="D8" s="1"/>
      <c r="E8" s="1"/>
      <c r="F8" s="1"/>
      <c r="G8" s="58"/>
      <c r="H8" s="1"/>
      <c r="I8" s="1"/>
    </row>
    <row r="9" spans="1:9" x14ac:dyDescent="0.25">
      <c r="A9" s="1"/>
      <c r="B9" s="122" t="s">
        <v>57</v>
      </c>
      <c r="C9" s="123"/>
      <c r="D9" s="123"/>
      <c r="E9" s="123"/>
      <c r="F9" s="123"/>
      <c r="G9" s="128"/>
      <c r="H9" s="124"/>
      <c r="I9" s="1"/>
    </row>
    <row r="10" spans="1:9" x14ac:dyDescent="0.25">
      <c r="A10" s="1"/>
      <c r="B10" s="125" t="s">
        <v>58</v>
      </c>
      <c r="C10" s="126"/>
      <c r="D10" s="126"/>
      <c r="E10" s="126"/>
      <c r="F10" s="127"/>
      <c r="G10" s="54">
        <f>(G5-G6)*(1+'Fane 13. Nøgletal'!C9)</f>
        <v>8377889.6585622309</v>
      </c>
      <c r="H10" s="14" t="s">
        <v>3</v>
      </c>
      <c r="I10" s="1"/>
    </row>
    <row r="11" spans="1:9" x14ac:dyDescent="0.25">
      <c r="A11" s="1"/>
      <c r="B11" s="129" t="s">
        <v>59</v>
      </c>
      <c r="C11" s="130"/>
      <c r="D11" s="130"/>
      <c r="E11" s="130"/>
      <c r="F11" s="131"/>
      <c r="G11" s="59">
        <v>0</v>
      </c>
      <c r="H11" s="14" t="s">
        <v>3</v>
      </c>
      <c r="I11" s="1"/>
    </row>
    <row r="12" spans="1:9" x14ac:dyDescent="0.25">
      <c r="A12" s="1"/>
      <c r="B12" s="125" t="s">
        <v>60</v>
      </c>
      <c r="C12" s="126"/>
      <c r="D12" s="126"/>
      <c r="E12" s="126"/>
      <c r="F12" s="127"/>
      <c r="G12" s="54">
        <f>G10*'Fane 13. Nøgletal'!C20+G11*'Fane 13. Nøgletal'!C21</f>
        <v>76238.7958929163</v>
      </c>
      <c r="H12" s="14" t="s">
        <v>3</v>
      </c>
      <c r="I12" s="1"/>
    </row>
    <row r="13" spans="1:9" x14ac:dyDescent="0.25">
      <c r="A13" s="1"/>
      <c r="B13" s="67"/>
      <c r="C13" s="68"/>
      <c r="D13" s="68"/>
      <c r="E13" s="68"/>
      <c r="F13" s="68"/>
      <c r="G13" s="57"/>
      <c r="H13" s="19"/>
      <c r="I13" s="1"/>
    </row>
    <row r="14" spans="1:9" x14ac:dyDescent="0.25">
      <c r="A14" s="1"/>
      <c r="B14" s="1"/>
      <c r="C14" s="1"/>
      <c r="D14" s="1"/>
      <c r="E14" s="1"/>
      <c r="F14" s="1"/>
      <c r="G14" s="58"/>
      <c r="H14" s="1"/>
      <c r="I14" s="1"/>
    </row>
    <row r="15" spans="1:9" x14ac:dyDescent="0.25">
      <c r="A15" s="1"/>
      <c r="B15" s="122" t="s">
        <v>61</v>
      </c>
      <c r="C15" s="123"/>
      <c r="D15" s="123"/>
      <c r="E15" s="123"/>
      <c r="F15" s="123"/>
      <c r="G15" s="128"/>
      <c r="H15" s="124"/>
      <c r="I15" s="1"/>
    </row>
    <row r="16" spans="1:9" x14ac:dyDescent="0.25">
      <c r="A16" s="1"/>
      <c r="B16" s="125" t="s">
        <v>62</v>
      </c>
      <c r="C16" s="126"/>
      <c r="D16" s="126"/>
      <c r="E16" s="126"/>
      <c r="F16" s="127"/>
      <c r="G16" s="54">
        <f>(G10+G11-G12)*(1+'Fane 13. Nøgletal'!C11)</f>
        <v>8441948.7622484248</v>
      </c>
      <c r="H16" s="14" t="s">
        <v>3</v>
      </c>
      <c r="I16" s="1"/>
    </row>
    <row r="17" spans="1:9" x14ac:dyDescent="0.25">
      <c r="A17" s="1"/>
      <c r="B17" s="125" t="s">
        <v>109</v>
      </c>
      <c r="C17" s="126"/>
      <c r="D17" s="126"/>
      <c r="E17" s="126"/>
      <c r="F17" s="127"/>
      <c r="G17" s="54">
        <v>-627558.19077744649</v>
      </c>
      <c r="H17" s="14" t="s">
        <v>3</v>
      </c>
      <c r="I17" s="1"/>
    </row>
    <row r="18" spans="1:9" x14ac:dyDescent="0.25">
      <c r="A18" s="1"/>
      <c r="B18" s="129" t="s">
        <v>63</v>
      </c>
      <c r="C18" s="130"/>
      <c r="D18" s="130"/>
      <c r="E18" s="130"/>
      <c r="F18" s="131"/>
      <c r="G18" s="54">
        <v>718133.16089181986</v>
      </c>
      <c r="H18" s="14" t="s">
        <v>3</v>
      </c>
      <c r="I18" s="1"/>
    </row>
    <row r="19" spans="1:9" x14ac:dyDescent="0.25">
      <c r="A19" s="1"/>
      <c r="B19" s="125" t="s">
        <v>64</v>
      </c>
      <c r="C19" s="126"/>
      <c r="D19" s="126"/>
      <c r="E19" s="126"/>
      <c r="F19" s="127"/>
      <c r="G19" s="54">
        <f>(G16+G17+G18)*'Fane 13. Nøgletal'!C22</f>
        <v>74232.956471556347</v>
      </c>
      <c r="H19" s="14" t="s">
        <v>3</v>
      </c>
      <c r="I19" s="1"/>
    </row>
    <row r="20" spans="1:9" x14ac:dyDescent="0.25">
      <c r="A20" s="1"/>
      <c r="B20" s="67"/>
      <c r="C20" s="68"/>
      <c r="D20" s="68"/>
      <c r="E20" s="68"/>
      <c r="F20" s="68"/>
      <c r="G20" s="57"/>
      <c r="H20" s="19"/>
      <c r="I20" s="1"/>
    </row>
    <row r="21" spans="1:9" x14ac:dyDescent="0.25">
      <c r="A21" s="1"/>
      <c r="B21" s="1"/>
      <c r="C21" s="1"/>
      <c r="D21" s="1"/>
      <c r="E21" s="1"/>
      <c r="F21" s="1"/>
      <c r="G21" s="58"/>
      <c r="H21" s="1"/>
      <c r="I21" s="1"/>
    </row>
    <row r="22" spans="1:9" x14ac:dyDescent="0.25">
      <c r="A22" s="1"/>
      <c r="B22" s="122" t="s">
        <v>65</v>
      </c>
      <c r="C22" s="123"/>
      <c r="D22" s="123"/>
      <c r="E22" s="123"/>
      <c r="F22" s="123"/>
      <c r="G22" s="128"/>
      <c r="H22" s="124"/>
      <c r="I22" s="1"/>
    </row>
    <row r="23" spans="1:9" x14ac:dyDescent="0.25">
      <c r="A23" s="1"/>
      <c r="B23" s="125" t="s">
        <v>66</v>
      </c>
      <c r="C23" s="126"/>
      <c r="D23" s="126"/>
      <c r="E23" s="126"/>
      <c r="F23" s="127"/>
      <c r="G23" s="54">
        <f>(SUM(G16:G18)-G19)*(1+'Fane 13. Nøgletal'!C11)</f>
        <v>8601235.8900038041</v>
      </c>
      <c r="H23" s="14" t="s">
        <v>3</v>
      </c>
      <c r="I23" s="1"/>
    </row>
    <row r="24" spans="1:9" x14ac:dyDescent="0.25">
      <c r="A24" s="1"/>
      <c r="B24" s="129" t="s">
        <v>67</v>
      </c>
      <c r="C24" s="130"/>
      <c r="D24" s="130"/>
      <c r="E24" s="130"/>
      <c r="F24" s="131"/>
      <c r="G24" s="54">
        <v>2778129.8206370776</v>
      </c>
      <c r="H24" s="14" t="s">
        <v>3</v>
      </c>
      <c r="I24" s="1"/>
    </row>
    <row r="25" spans="1:9" x14ac:dyDescent="0.25">
      <c r="A25" s="1"/>
      <c r="B25" s="125" t="s">
        <v>68</v>
      </c>
      <c r="C25" s="126"/>
      <c r="D25" s="126"/>
      <c r="E25" s="126"/>
      <c r="F25" s="127"/>
      <c r="G25" s="54">
        <f>G23*'Fane 13. Nøgletal'!C22+G24*'Fane 13. Nøgletal'!C23</f>
        <v>153729.63914912607</v>
      </c>
      <c r="H25" s="14" t="s">
        <v>3</v>
      </c>
      <c r="I25" s="1"/>
    </row>
    <row r="26" spans="1:9" x14ac:dyDescent="0.25">
      <c r="A26" s="1"/>
      <c r="B26" s="67"/>
      <c r="C26" s="68"/>
      <c r="D26" s="68"/>
      <c r="E26" s="68"/>
      <c r="F26" s="68"/>
      <c r="G26" s="57"/>
      <c r="H26" s="19"/>
      <c r="I26" s="1"/>
    </row>
    <row r="27" spans="1:9" x14ac:dyDescent="0.25">
      <c r="A27" s="1"/>
      <c r="B27" s="1"/>
      <c r="C27" s="1"/>
      <c r="D27" s="1"/>
      <c r="E27" s="1"/>
      <c r="F27" s="1"/>
      <c r="G27" s="58"/>
      <c r="H27" s="1"/>
      <c r="I27" s="1"/>
    </row>
    <row r="28" spans="1:9" x14ac:dyDescent="0.25">
      <c r="A28" s="1"/>
      <c r="B28" s="122" t="s">
        <v>130</v>
      </c>
      <c r="C28" s="123"/>
      <c r="D28" s="123"/>
      <c r="E28" s="123"/>
      <c r="F28" s="123"/>
      <c r="G28" s="128"/>
      <c r="H28" s="124"/>
      <c r="I28" s="1"/>
    </row>
    <row r="29" spans="1:9" x14ac:dyDescent="0.25">
      <c r="A29" s="1"/>
      <c r="B29" s="125" t="s">
        <v>69</v>
      </c>
      <c r="C29" s="126"/>
      <c r="D29" s="126"/>
      <c r="E29" s="126"/>
      <c r="F29" s="127"/>
      <c r="G29" s="54">
        <f>(G23+G24-G25)*(1+'Fane 13. Nøgletal'!C13)</f>
        <v>11362588.831563955</v>
      </c>
      <c r="H29" s="14" t="s">
        <v>3</v>
      </c>
      <c r="I29" s="1"/>
    </row>
    <row r="30" spans="1:9" x14ac:dyDescent="0.25">
      <c r="A30" s="1"/>
      <c r="B30" s="125" t="s">
        <v>123</v>
      </c>
      <c r="C30" s="126"/>
      <c r="D30" s="126"/>
      <c r="E30" s="126"/>
      <c r="F30" s="127"/>
      <c r="G30" s="54">
        <v>9443.2666582799993</v>
      </c>
      <c r="H30" s="14" t="s">
        <v>3</v>
      </c>
      <c r="I30" s="1"/>
    </row>
    <row r="31" spans="1:9" x14ac:dyDescent="0.25">
      <c r="A31" s="1"/>
      <c r="B31" s="125" t="s">
        <v>131</v>
      </c>
      <c r="C31" s="126"/>
      <c r="D31" s="126"/>
      <c r="E31" s="126"/>
      <c r="F31" s="127"/>
      <c r="G31" s="54">
        <f>(G29+G30)*'Fane 13. Nøgletal'!C24</f>
        <v>312730.88270111149</v>
      </c>
      <c r="H31" s="14" t="s">
        <v>3</v>
      </c>
      <c r="I31" s="1"/>
    </row>
    <row r="32" spans="1:9" x14ac:dyDescent="0.25">
      <c r="A32" s="1"/>
      <c r="B32" s="67"/>
      <c r="C32" s="68"/>
      <c r="D32" s="68"/>
      <c r="E32" s="68"/>
      <c r="F32" s="68"/>
      <c r="G32" s="57"/>
      <c r="H32" s="19"/>
      <c r="I32" s="1"/>
    </row>
    <row r="33" spans="1:9" x14ac:dyDescent="0.25">
      <c r="A33" s="1"/>
      <c r="B33" s="1"/>
      <c r="C33" s="1"/>
      <c r="D33" s="1"/>
      <c r="E33" s="1"/>
      <c r="F33" s="1"/>
      <c r="G33" s="58"/>
      <c r="H33" s="1"/>
      <c r="I33" s="1"/>
    </row>
    <row r="34" spans="1:9" x14ac:dyDescent="0.25">
      <c r="A34" s="1"/>
      <c r="B34" s="122" t="s">
        <v>135</v>
      </c>
      <c r="C34" s="123"/>
      <c r="D34" s="123"/>
      <c r="E34" s="123"/>
      <c r="F34" s="123"/>
      <c r="G34" s="128"/>
      <c r="H34" s="124"/>
      <c r="I34" s="1"/>
    </row>
    <row r="35" spans="1:9" x14ac:dyDescent="0.25">
      <c r="A35" s="1"/>
      <c r="B35" s="125" t="s">
        <v>72</v>
      </c>
      <c r="C35" s="126"/>
      <c r="D35" s="126"/>
      <c r="E35" s="126"/>
      <c r="F35" s="127"/>
      <c r="G35" s="54">
        <f>(G29+G30-G31)*(1+'Fane 13. Nøgletal'!C13)</f>
        <v>11194224.69035048</v>
      </c>
      <c r="H35" s="14" t="s">
        <v>3</v>
      </c>
      <c r="I35" s="1"/>
    </row>
    <row r="36" spans="1:9" x14ac:dyDescent="0.25">
      <c r="A36" s="1"/>
      <c r="B36" s="125" t="s">
        <v>141</v>
      </c>
      <c r="C36" s="126"/>
      <c r="D36" s="126"/>
      <c r="E36" s="126"/>
      <c r="F36" s="127"/>
      <c r="G36" s="54">
        <f>SUM('Fane 3. Omkostninger i ØR2022'!E11)*(1+'Fane 13. Nøgletal'!C14)</f>
        <v>0</v>
      </c>
      <c r="H36" s="14" t="s">
        <v>3</v>
      </c>
      <c r="I36" s="1"/>
    </row>
    <row r="37" spans="1:9" x14ac:dyDescent="0.25">
      <c r="A37" s="1"/>
      <c r="B37" s="125" t="s">
        <v>136</v>
      </c>
      <c r="C37" s="126"/>
      <c r="D37" s="126"/>
      <c r="E37" s="126"/>
      <c r="F37" s="127"/>
      <c r="G37" s="54">
        <f>G35*'Fane 13. Nøgletal'!C24+G36*'Fane 13. Nøgletal'!C25</f>
        <v>307841.17898463819</v>
      </c>
      <c r="H37" s="14" t="s">
        <v>3</v>
      </c>
      <c r="I37" s="1"/>
    </row>
    <row r="38" spans="1:9" x14ac:dyDescent="0.25">
      <c r="A38" s="1"/>
      <c r="B38" s="67"/>
      <c r="C38" s="68"/>
      <c r="D38" s="68"/>
      <c r="E38" s="68"/>
      <c r="F38" s="68"/>
      <c r="G38" s="57"/>
      <c r="H38" s="19"/>
      <c r="I38" s="1"/>
    </row>
    <row r="39" spans="1:9" x14ac:dyDescent="0.25">
      <c r="A39" s="1"/>
      <c r="B39" s="1"/>
      <c r="C39" s="1"/>
      <c r="D39" s="1"/>
      <c r="E39" s="1"/>
      <c r="F39" s="1"/>
      <c r="G39" s="58"/>
      <c r="H39" s="1"/>
      <c r="I39" s="1"/>
    </row>
    <row r="40" spans="1:9" x14ac:dyDescent="0.25">
      <c r="A40" s="1"/>
      <c r="B40" s="122" t="s">
        <v>200</v>
      </c>
      <c r="C40" s="123"/>
      <c r="D40" s="123"/>
      <c r="E40" s="123"/>
      <c r="F40" s="123"/>
      <c r="G40" s="128"/>
      <c r="H40" s="124"/>
      <c r="I40" s="1"/>
    </row>
    <row r="41" spans="1:9" x14ac:dyDescent="0.25">
      <c r="A41" s="1"/>
      <c r="B41" s="125" t="s">
        <v>71</v>
      </c>
      <c r="C41" s="126"/>
      <c r="D41" s="126"/>
      <c r="E41" s="126"/>
      <c r="F41" s="127"/>
      <c r="G41" s="54">
        <f>(G35+G36-G37)*(1+'Fane 13. Nøgletal'!C15)</f>
        <v>11273938.764370468</v>
      </c>
      <c r="H41" s="14" t="s">
        <v>3</v>
      </c>
      <c r="I41" s="1"/>
    </row>
    <row r="42" spans="1:9" x14ac:dyDescent="0.25">
      <c r="A42" s="1"/>
      <c r="B42" s="125" t="s">
        <v>211</v>
      </c>
      <c r="C42" s="126"/>
      <c r="D42" s="126"/>
      <c r="E42" s="126"/>
      <c r="F42" s="127"/>
      <c r="G42" s="59">
        <f>SUM('Fane 2.1. Økonomisk ramme 2023'!C10+'Fane 2.1. Økonomisk ramme 2023'!C12+'Fane 2.1. Økonomisk ramme 2023'!C14)*(1+'Fane 13. Nøgletal'!C15)</f>
        <v>62515.194881760013</v>
      </c>
      <c r="H42" s="14" t="s">
        <v>3</v>
      </c>
      <c r="I42" s="1"/>
    </row>
    <row r="43" spans="1:9" x14ac:dyDescent="0.25">
      <c r="A43" s="1"/>
      <c r="B43" s="125" t="s">
        <v>70</v>
      </c>
      <c r="C43" s="126"/>
      <c r="D43" s="126"/>
      <c r="E43" s="126"/>
      <c r="F43" s="127"/>
      <c r="G43" s="54">
        <f>(G41+G42)*'Fane 13. Nøgletal'!C26</f>
        <v>0</v>
      </c>
      <c r="H43" s="14" t="s">
        <v>3</v>
      </c>
      <c r="I43" s="1"/>
    </row>
    <row r="44" spans="1:9" x14ac:dyDescent="0.25">
      <c r="A44" s="1"/>
      <c r="B44" s="67"/>
      <c r="C44" s="68"/>
      <c r="D44" s="68"/>
      <c r="E44" s="68"/>
      <c r="F44" s="68"/>
      <c r="G44" s="57"/>
      <c r="H44" s="19"/>
      <c r="I44" s="1"/>
    </row>
    <row r="45" spans="1:9" ht="12" customHeight="1" x14ac:dyDescent="0.25">
      <c r="A45" s="1"/>
      <c r="B45" s="1"/>
      <c r="C45" s="1"/>
      <c r="D45" s="1"/>
      <c r="E45" s="1"/>
      <c r="F45" s="1"/>
      <c r="G45" s="58"/>
      <c r="H45" s="1"/>
      <c r="I45" s="1"/>
    </row>
    <row r="46" spans="1:9" x14ac:dyDescent="0.25">
      <c r="A46" s="1"/>
      <c r="B46" s="122" t="s">
        <v>201</v>
      </c>
      <c r="C46" s="123"/>
      <c r="D46" s="123"/>
      <c r="E46" s="123"/>
      <c r="F46" s="123"/>
      <c r="G46" s="128"/>
      <c r="H46" s="124"/>
      <c r="I46" s="1"/>
    </row>
    <row r="47" spans="1:9" x14ac:dyDescent="0.25">
      <c r="A47" s="1"/>
      <c r="B47" s="125" t="s">
        <v>124</v>
      </c>
      <c r="C47" s="126"/>
      <c r="D47" s="126"/>
      <c r="E47" s="126"/>
      <c r="F47" s="127"/>
      <c r="G47" s="54">
        <f>(G41+G42-G43)*(1+'Fane 13. Nøgletal'!C15)</f>
        <v>11740031.720201608</v>
      </c>
      <c r="H47" s="14" t="s">
        <v>3</v>
      </c>
      <c r="I47" s="1"/>
    </row>
    <row r="48" spans="1:9" x14ac:dyDescent="0.25">
      <c r="A48" s="1"/>
      <c r="B48" s="125" t="s">
        <v>125</v>
      </c>
      <c r="C48" s="126"/>
      <c r="D48" s="126"/>
      <c r="E48" s="126"/>
      <c r="F48" s="127"/>
      <c r="G48" s="54">
        <f>(G47)*'Fane 13. Nøgletal'!C26</f>
        <v>0</v>
      </c>
      <c r="H48" s="14" t="s">
        <v>3</v>
      </c>
      <c r="I48" s="1"/>
    </row>
    <row r="49" spans="1:9" x14ac:dyDescent="0.25">
      <c r="A49" s="1"/>
      <c r="B49" s="67"/>
      <c r="C49" s="68"/>
      <c r="D49" s="68"/>
      <c r="E49" s="68"/>
      <c r="F49" s="68"/>
      <c r="G49" s="57"/>
      <c r="H49" s="19"/>
      <c r="I49" s="1"/>
    </row>
    <row r="50" spans="1:9" x14ac:dyDescent="0.25">
      <c r="A50" s="1"/>
      <c r="B50" s="1"/>
      <c r="C50" s="1"/>
      <c r="D50" s="1"/>
      <c r="E50" s="1"/>
      <c r="F50" s="1"/>
      <c r="G50" s="58"/>
      <c r="H50" s="1"/>
      <c r="I50" s="1"/>
    </row>
    <row r="51" spans="1:9" x14ac:dyDescent="0.25">
      <c r="A51" s="1"/>
      <c r="B51" s="122" t="s">
        <v>142</v>
      </c>
      <c r="C51" s="123"/>
      <c r="D51" s="123"/>
      <c r="E51" s="123"/>
      <c r="F51" s="123"/>
      <c r="G51" s="128"/>
      <c r="H51" s="124"/>
      <c r="I51" s="1"/>
    </row>
    <row r="52" spans="1:9" x14ac:dyDescent="0.25">
      <c r="A52" s="1"/>
      <c r="B52" s="125" t="s">
        <v>143</v>
      </c>
      <c r="C52" s="126"/>
      <c r="D52" s="126"/>
      <c r="E52" s="126"/>
      <c r="F52" s="127"/>
      <c r="G52" s="54">
        <f>(G47-G48)*(1+'Fane 13. Nøgletal'!C15)</f>
        <v>12157976.849440785</v>
      </c>
      <c r="H52" s="14" t="s">
        <v>3</v>
      </c>
      <c r="I52" s="1"/>
    </row>
    <row r="53" spans="1:9" x14ac:dyDescent="0.25">
      <c r="A53" s="1"/>
      <c r="B53" s="125" t="s">
        <v>144</v>
      </c>
      <c r="C53" s="126"/>
      <c r="D53" s="126"/>
      <c r="E53" s="126"/>
      <c r="F53" s="127"/>
      <c r="G53" s="54">
        <f>(G52)*'Fane 13. Nøgletal'!C26</f>
        <v>0</v>
      </c>
      <c r="H53" s="14" t="s">
        <v>3</v>
      </c>
      <c r="I53" s="1"/>
    </row>
    <row r="54" spans="1:9" x14ac:dyDescent="0.25">
      <c r="A54" s="1"/>
      <c r="B54" s="67"/>
      <c r="C54" s="68"/>
      <c r="D54" s="68"/>
      <c r="E54" s="68"/>
      <c r="F54" s="68"/>
      <c r="G54" s="57"/>
      <c r="H54" s="19"/>
      <c r="I54" s="1"/>
    </row>
    <row r="55" spans="1:9" x14ac:dyDescent="0.25">
      <c r="A55" s="1"/>
      <c r="B55" s="1"/>
      <c r="C55" s="1"/>
      <c r="D55" s="1"/>
      <c r="E55" s="1"/>
      <c r="F55" s="1"/>
      <c r="G55" s="58"/>
      <c r="H55" s="1"/>
      <c r="I55" s="1"/>
    </row>
    <row r="56" spans="1:9" x14ac:dyDescent="0.25">
      <c r="A56" s="1"/>
      <c r="B56" s="122" t="s">
        <v>177</v>
      </c>
      <c r="C56" s="123"/>
      <c r="D56" s="123"/>
      <c r="E56" s="123"/>
      <c r="F56" s="123"/>
      <c r="G56" s="128"/>
      <c r="H56" s="124"/>
      <c r="I56" s="1"/>
    </row>
    <row r="57" spans="1:9" x14ac:dyDescent="0.25">
      <c r="A57" s="1"/>
      <c r="B57" s="125" t="s">
        <v>178</v>
      </c>
      <c r="C57" s="126"/>
      <c r="D57" s="126"/>
      <c r="E57" s="126"/>
      <c r="F57" s="127"/>
      <c r="G57" s="54">
        <f>(G52-G53)*(1+'Fane 13. Nøgletal'!C15)</f>
        <v>12590800.825280879</v>
      </c>
      <c r="H57" s="14" t="s">
        <v>3</v>
      </c>
      <c r="I57" s="1"/>
    </row>
    <row r="58" spans="1:9" x14ac:dyDescent="0.25">
      <c r="A58" s="1"/>
      <c r="B58" s="125" t="s">
        <v>179</v>
      </c>
      <c r="C58" s="126"/>
      <c r="D58" s="126"/>
      <c r="E58" s="126"/>
      <c r="F58" s="127"/>
      <c r="G58" s="54">
        <f>(G57)*'Fane 13. Nøgletal'!C26</f>
        <v>0</v>
      </c>
      <c r="H58" s="14" t="s">
        <v>3</v>
      </c>
      <c r="I58" s="1"/>
    </row>
    <row r="59" spans="1:9" x14ac:dyDescent="0.25">
      <c r="A59" s="1"/>
      <c r="B59" s="67"/>
      <c r="C59" s="68"/>
      <c r="D59" s="68"/>
      <c r="E59" s="68"/>
      <c r="F59" s="68"/>
      <c r="G59" s="68"/>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kbmiXWUNscKJplbOB0+iNqlqqCUYFJImRPftBG7qKRnP5fqO2Iab+/MmBkyUphrnRlg9ZJGojS4lDUshziiwhA==" saltValue="1vJDSkhF3x2z3MO5oLCuzw==" spinCount="100000" sheet="1" objects="1" scenarios="1"/>
  <mergeCells count="38">
    <mergeCell ref="B47:F47"/>
    <mergeCell ref="B48:F48"/>
    <mergeCell ref="B36:F36"/>
    <mergeCell ref="B42:F42"/>
    <mergeCell ref="B41:F41"/>
    <mergeCell ref="B40:H40"/>
    <mergeCell ref="B37:F37"/>
    <mergeCell ref="B46:H46"/>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9" t="s">
        <v>82</v>
      </c>
      <c r="C3" s="99"/>
      <c r="D3" s="99"/>
      <c r="E3" s="99"/>
      <c r="F3" s="99"/>
      <c r="G3" s="99"/>
      <c r="H3" s="1"/>
    </row>
    <row r="4" spans="1:8" ht="15" customHeight="1" x14ac:dyDescent="0.25">
      <c r="A4" s="1"/>
      <c r="B4" s="99"/>
      <c r="C4" s="99"/>
      <c r="D4" s="99"/>
      <c r="E4" s="99"/>
      <c r="F4" s="99"/>
      <c r="G4" s="9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2" t="s">
        <v>9</v>
      </c>
      <c r="C8" s="123"/>
      <c r="D8" s="123"/>
      <c r="E8" s="123"/>
      <c r="F8" s="123"/>
      <c r="G8" s="123"/>
      <c r="H8" s="1"/>
    </row>
    <row r="9" spans="1:8" x14ac:dyDescent="0.25">
      <c r="A9" s="1"/>
      <c r="B9" s="72" t="s">
        <v>180</v>
      </c>
      <c r="C9" s="73"/>
      <c r="D9" s="73"/>
      <c r="E9" s="73"/>
      <c r="F9" s="74"/>
      <c r="G9" s="28">
        <v>0</v>
      </c>
      <c r="H9" s="1"/>
    </row>
    <row r="10" spans="1:8" x14ac:dyDescent="0.25">
      <c r="A10" s="1"/>
      <c r="B10" s="67"/>
      <c r="C10" s="68"/>
      <c r="D10" s="68"/>
      <c r="E10" s="68"/>
      <c r="F10" s="68"/>
      <c r="G10" s="68"/>
      <c r="H10" s="1"/>
    </row>
    <row r="11" spans="1:8" x14ac:dyDescent="0.25">
      <c r="A11" s="1"/>
      <c r="B11" s="1"/>
      <c r="C11" s="1"/>
      <c r="D11" s="1"/>
      <c r="E11" s="1"/>
      <c r="F11" s="1"/>
      <c r="G11" s="1"/>
      <c r="H11" s="1"/>
    </row>
    <row r="12" spans="1:8" ht="31.5" customHeight="1" x14ac:dyDescent="0.25">
      <c r="A12" s="1"/>
      <c r="B12" s="135" t="s">
        <v>202</v>
      </c>
      <c r="C12" s="135"/>
      <c r="D12" s="135"/>
      <c r="E12" s="135"/>
      <c r="F12" s="135"/>
      <c r="G12" s="13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6ULW0/Mk42y/jR7VYMYrvXVYOgejuFO0mu0YLnOiz+j41F6dP5Fqokh5by7cb4HcSPZfbcNZVzPVwME/cxfDbg==" saltValue="ncOO0TT2itkhtyDGxthx/A=="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2022-12-01T09:00:55Z</dcterms:modified>
</cp:coreProperties>
</file>