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K SPILDEVAND AS (S08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7" i="39"/>
  <c r="C37" i="39"/>
  <c r="C38" i="39" s="1"/>
  <c r="E29" i="39"/>
  <c r="C29" i="39"/>
  <c r="C30" i="39" s="1"/>
  <c r="E21" i="39"/>
  <c r="C21" i="39"/>
  <c r="E13" i="39"/>
  <c r="C13" i="39"/>
  <c r="C11" i="23" l="1"/>
  <c r="C10" i="23"/>
  <c r="C11" i="22"/>
  <c r="C10" i="22"/>
  <c r="E39" i="39"/>
  <c r="E38" i="39"/>
  <c r="E30" i="39"/>
  <c r="E31" i="39"/>
  <c r="E23" i="39"/>
  <c r="E22" i="39"/>
  <c r="C22" i="39"/>
  <c r="C23" i="39"/>
  <c r="E15" i="39"/>
  <c r="E14" i="39"/>
  <c r="C15" i="39"/>
  <c r="C14" i="39"/>
  <c r="C39" i="39"/>
  <c r="C40" i="39" s="1"/>
  <c r="C31" i="39"/>
  <c r="C32" i="39" s="1"/>
  <c r="E24" i="39" l="1"/>
  <c r="E40" i="39"/>
  <c r="C23" i="23" s="1"/>
  <c r="E32" i="39"/>
  <c r="C23" i="22" s="1"/>
  <c r="C16" i="39"/>
  <c r="C26" i="2" s="1"/>
  <c r="E16" i="39"/>
  <c r="C27" i="2" s="1"/>
  <c r="C24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3" i="37" s="1"/>
  <c r="E14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<sst xmlns="http://schemas.openxmlformats.org/spreadsheetml/2006/main" count="713" uniqueCount="287">
  <si>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</si>
  <si>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</si>
  <si>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</si>
  <si>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</si>
  <si>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</si>
  <si>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</si>
  <si>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</si>
  <si>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</si>
  <si>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</si>
  <si>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</si>
  <si>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</si>
  <si>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</si>
  <si>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</si>
  <si>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</si>
  <si>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</si>
  <si>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</si>
  <si>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</si>
  <si>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</si>
  <si>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</si>
  <si>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</si>
  <si>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</si>
  <si>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</si>
  <si>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</si>
  <si>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</si>
  <si>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</si>
  <si>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</si>
  <si>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</si>
  <si>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</si>
  <si>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</si>
  <si>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</si>
  <si>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</si>
  <si>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</si>
  <si>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</si>
  <si>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</si>
  <si>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</si>
  <si>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</si>
  <si>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</si>
  <si>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</si>
  <si>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</si>
  <si>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</si>
  <si>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</si>
  <si>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</si>
  <si>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</si>
  <si>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</si>
  <si>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</si>
  <si>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</si>
  <si>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</si>
  <si>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</si>
  <si>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</si>
  <si>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</si>
  <si>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</si>
  <si>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</si>
  <si>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</si>
  <si>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</si>
  <si>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</si>
  <si>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</si>
  <si>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</si>
  <si>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</si>
  <si>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</si>
  <si>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</si>
  <si>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</si>
  <si>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</si>
  <si>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</si>
  <si>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</si>
  <si>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</si>
  <si>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</si>
  <si>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</si>
  <si>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</si>
  <si>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</si>
  <si>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</si>
  <si>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</si>
  <si>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</si>
  <si>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</si>
  <si>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</si>
  <si>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</si>
  <si>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</si>
  <si>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</si>
  <si>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</si>
  <si>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</si>
  <si>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</si>
  <si>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</si>
  <si>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</si>
  <si>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</si>
  <si>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</si>
  <si>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</si>
  <si>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</si>
  <si>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</si>
  <si>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</si>
  <si>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</si>
  <si>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</si>
  <si>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</si>
  <si>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</si>
  <si>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</si>
  <si>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</si>
  <si>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</si>
  <si>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</si>
  <si>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</si>
  <si>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</si>
  <si>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</si>
  <si>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</si>
  <si>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</si>
  <si>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</si>
  <si>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</si>
  <si>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</si>
  <si>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</si>
  <si>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</si>
  <si>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</si>
  <si>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</si>
  <si>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</si>
  <si>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</si>
  <si>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</si>
  <si>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</si>
  <si>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</si>
  <si>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</si>
  <si>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</si>
  <si>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</si>
  <si>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</si>
  <si>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</si>
  <si>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</si>
  <si>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</si>
  <si>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</si>
  <si>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</si>
  <si>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</si>
  <si>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</si>
  <si>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</si>
  <si>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</si>
  <si>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</si>
  <si>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</si>
  <si>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</si>
  <si>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</si>
  <si>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</si>
  <si>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</si>
  <si>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</si>
  <si>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</si>
  <si>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</si>
  <si>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</si>
  <si>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</si>
  <si>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</si>
  <si>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</si>
  <si>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</si>
  <si>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</si>
  <si>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</si>
  <si>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</si>
  <si>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</si>
  <si>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</si>
  <si>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</si>
  <si>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</si>
  <si>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</si>
  <si>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</si>
  <si>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</si>
  <si>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</si>
  <si>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</si>
  <si>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</si>
  <si>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</si>
  <si>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</si>
  <si>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</si>
  <si>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</si>
  <si>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</si>
  <si>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</si>
  <si>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</si>
  <si>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</si>
  <si>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</si>
  <si>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</si>
  <si>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</si>
  <si>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</si>
  <si>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</si>
  <si>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</si>
  <si>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</si>
  <si>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</si>
  <si>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</si>
  <si>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</si>
  <si>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</si>
  <si>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</si>
  <si>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</si>
  <si>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</si>
  <si>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</si>
  <si>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</si>
  <si>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</si>
  <si>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</si>
  <si>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</si>
  <si>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</si>
  <si>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</si>
  <si>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</si>
  <si>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</si>
  <si>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</si>
  <si>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</si>
  <si>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</si>
  <si>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</si>
  <si>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</si>
  <si>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</si>
  <si>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</si>
  <si>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</si>
  <si>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</si>
  <si>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</si>
  <si>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</si>
  <si>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</si>
  <si>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</si>
  <si>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</si>
  <si>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</si>
  <si>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</si>
  <si>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</si>
  <si>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</si>
  <si>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</si>
  <si>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</si>
  <si>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</si>
  <si>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</si>
  <si>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</si>
  <si>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</si>
  <si>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</si>
  <si>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</si>
  <si>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</si>
  <si>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</si>
  <si>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</si>
  <si>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</si>
  <si>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</si>
  <si>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</si>
  <si>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</si>
  <si>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</si>
  <si>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</si>
  <si>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</si>
  <si>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</si>
  <si>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</si>
  <si>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</si>
  <si>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</si>
  <si>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</si>
  <si>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</si>
  <si>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</si>
  <si>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</si>
  <si>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</si>
  <si>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</si>
  <si>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</si>
  <si>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</si>
  <si>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</si>
  <si>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</si>
  <si>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</si>
  <si>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</si>
  <si>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</si>
  <si>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</si>
  <si>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</si>
  <si>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</si>
  <si>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</si>
  <si>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</si>
  <si>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</si>
  <si>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</si>
  <si>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</si>
  <si>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</si>
  <si>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</si>
  <si>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</si>
  <si>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</si>
  <si>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</si>
  <si>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</si>
  <si>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</si>
  <si>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</si>
  <si>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</si>
  <si>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</si>
  <si>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</si>
  <si>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</si>
  <si>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</si>
  <si>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</si>
  <si>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</si>
  <si>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</si>
  <si>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</si>
  <si>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</si>
  <si>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</si>
  <si>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</si>
  <si>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</si>
  <si>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</si>
  <si>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</si>
  <si>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</si>
  <si>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</si>
  <si>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</si>
  <si>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</si>
  <si>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</si>
  <si>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</si>
  <si>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</si>
  <si>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</si>
  <si>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</si>
  <si>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</si>
  <si>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</si>
  <si>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Separatkloakering</t>
  </si>
  <si>
    <t>Sommerhuskloakering, udstykninger &amp; nye stik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</si>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</sst>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3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285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245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246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160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247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144</v>
      </c>
      <c r="D17" s="77" t="s">
        <v>248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124</v>
      </c>
      <c r="D18" s="74" t="s">
        <v>110</v>
      </c>
      <c r="E18" s="75"/>
      <c r="F18" s="75"/>
      <c r="G18" s="76"/>
      <c r="H18" s="1"/>
      <c r="I18" s="1"/>
    </row>
    <row r="19" spans="1:9" x14ac:dyDescent="0.25">
      <c r="A19" s="1"/>
      <c r="B19" s="1"/>
      <c r="C19" s="6" t="s">
        <v>125</v>
      </c>
      <c r="D19" s="74" t="s">
        <v>111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126</v>
      </c>
      <c r="D21" s="81" t="s">
        <v>13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91</v>
      </c>
      <c r="D22" s="68" t="s">
        <v>249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195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39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127</v>
      </c>
      <c r="D25" s="68" t="s">
        <v>92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128</v>
      </c>
      <c r="D26" s="68" t="s">
        <v>93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129</v>
      </c>
      <c r="D27" s="68" t="s">
        <v>94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16</v>
      </c>
      <c r="D28" s="68" t="s">
        <v>161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41</v>
      </c>
      <c r="D29" s="68" t="s">
        <v>40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42</v>
      </c>
      <c r="D30" s="71" t="s">
        <v>123</v>
      </c>
      <c r="E30" s="72"/>
      <c r="F30" s="72"/>
      <c r="G30" s="7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8I94fnjLt9My8BdujMr6jEQqUy0FEZjp+W4v1+zf8gZXtmIBOyOrFmN8jlNgoYpj8d34zZCl/4PKo4ij+ZD7A==" saltValue="x4PMZmi6ESZA461AVQUuw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208</v>
      </c>
      <c r="C8" s="99"/>
      <c r="D8" s="100"/>
      <c r="E8" s="1"/>
      <c r="F8" s="1"/>
    </row>
    <row r="9" spans="1:6" ht="15" customHeight="1" x14ac:dyDescent="0.25">
      <c r="A9" s="1"/>
      <c r="B9" s="30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262</v>
      </c>
      <c r="C10" s="9">
        <v>1521788</v>
      </c>
      <c r="D10" s="14" t="s">
        <v>3</v>
      </c>
      <c r="E10" s="1"/>
      <c r="F10" s="1"/>
    </row>
    <row r="11" spans="1:6" x14ac:dyDescent="0.25">
      <c r="A11" s="1"/>
      <c r="B11" s="63" t="s">
        <v>263</v>
      </c>
      <c r="C11" s="9">
        <v>104495</v>
      </c>
      <c r="D11" s="14" t="s">
        <v>3</v>
      </c>
      <c r="E11" s="1"/>
      <c r="F11" s="1"/>
    </row>
    <row r="12" spans="1:6" x14ac:dyDescent="0.25">
      <c r="A12" s="1"/>
      <c r="B12" s="63" t="s">
        <v>264</v>
      </c>
      <c r="C12" s="9">
        <v>547651</v>
      </c>
      <c r="D12" s="14" t="s">
        <v>3</v>
      </c>
      <c r="E12" s="1"/>
      <c r="F12" s="1"/>
    </row>
    <row r="13" spans="1:6" x14ac:dyDescent="0.25">
      <c r="A13" s="1"/>
      <c r="B13" s="63" t="s">
        <v>265</v>
      </c>
      <c r="C13" s="9">
        <v>189814</v>
      </c>
      <c r="D13" s="14" t="s">
        <v>3</v>
      </c>
      <c r="E13" s="1"/>
      <c r="F13" s="1"/>
    </row>
    <row r="14" spans="1:6" x14ac:dyDescent="0.25">
      <c r="A14" s="1"/>
      <c r="B14" s="37" t="s">
        <v>209</v>
      </c>
      <c r="C14" s="12">
        <f>SUM(C10:C13)</f>
        <v>2363748</v>
      </c>
      <c r="D14" s="13" t="s">
        <v>3</v>
      </c>
      <c r="E14" s="1"/>
      <c r="F14" s="1"/>
    </row>
    <row r="15" spans="1:6" x14ac:dyDescent="0.25">
      <c r="A15" s="1"/>
      <c r="B15" s="37" t="s">
        <v>210</v>
      </c>
      <c r="C15" s="12">
        <f>C14*(1+'Fane 14. Nøgletal'!C14)^2</f>
        <v>2379374.4780157204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8" t="s">
        <v>142</v>
      </c>
      <c r="C18" s="99"/>
      <c r="D18" s="100"/>
      <c r="E18" s="1"/>
      <c r="F18" s="1"/>
    </row>
    <row r="19" spans="1:6" x14ac:dyDescent="0.25">
      <c r="A19" s="1"/>
      <c r="B19" s="63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3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3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3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8"/>
      <c r="C23" s="99"/>
      <c r="D23" s="100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8" t="s">
        <v>115</v>
      </c>
      <c r="C26" s="99"/>
      <c r="D26" s="100"/>
      <c r="E26" s="1"/>
      <c r="F26" s="1"/>
    </row>
    <row r="27" spans="1:6" x14ac:dyDescent="0.25">
      <c r="A27" s="1"/>
      <c r="B27" s="63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3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8"/>
      <c r="C31" s="99"/>
      <c r="D31" s="100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js7nmiygVf+irYsM6TKqX8SUGpsnd5ycxt8LRqkbNJP33l951EPEGseQkVOkzozdbcJkps2DsLysNkhBafuItw==" saltValue="XSfptf5gPLQOO6UT06o4w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59"/>
      <c r="C5" s="59"/>
      <c r="D5" s="59"/>
      <c r="E5" s="59"/>
      <c r="F5" s="59"/>
      <c r="G5" s="1"/>
    </row>
    <row r="6" spans="1:7" ht="15" customHeight="1" x14ac:dyDescent="0.25">
      <c r="A6" s="1"/>
      <c r="B6" s="59"/>
      <c r="C6" s="59"/>
      <c r="D6" s="59"/>
      <c r="E6" s="59"/>
      <c r="F6" s="5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267</v>
      </c>
      <c r="C8" s="99"/>
      <c r="D8" s="99"/>
      <c r="E8" s="99"/>
      <c r="F8" s="100"/>
      <c r="G8" s="1"/>
    </row>
    <row r="9" spans="1:7" x14ac:dyDescent="0.25">
      <c r="A9" s="1"/>
      <c r="B9" s="103" t="s">
        <v>268</v>
      </c>
      <c r="C9" s="104"/>
      <c r="D9" s="105"/>
      <c r="E9" s="9">
        <v>13156148.377609164</v>
      </c>
      <c r="F9" s="14" t="s">
        <v>3</v>
      </c>
      <c r="G9" s="1"/>
    </row>
    <row r="10" spans="1:7" x14ac:dyDescent="0.25">
      <c r="A10" s="1"/>
      <c r="B10" s="103" t="s">
        <v>269</v>
      </c>
      <c r="C10" s="104"/>
      <c r="D10" s="105"/>
      <c r="E10" s="9">
        <v>-18978446.927800268</v>
      </c>
      <c r="F10" s="14" t="s">
        <v>3</v>
      </c>
      <c r="G10" s="1"/>
    </row>
    <row r="11" spans="1:7" x14ac:dyDescent="0.25">
      <c r="A11" s="1"/>
      <c r="B11" s="103" t="s">
        <v>270</v>
      </c>
      <c r="C11" s="104"/>
      <c r="D11" s="105"/>
      <c r="E11" s="9">
        <v>-5822298.5501911044</v>
      </c>
      <c r="F11" s="14" t="s">
        <v>3</v>
      </c>
      <c r="G11" s="1"/>
    </row>
    <row r="12" spans="1:7" x14ac:dyDescent="0.25">
      <c r="A12" s="1"/>
      <c r="B12" s="103" t="s">
        <v>271</v>
      </c>
      <c r="C12" s="104"/>
      <c r="D12" s="105"/>
      <c r="E12" s="9">
        <v>412571.21816158295</v>
      </c>
      <c r="F12" s="14" t="s">
        <v>3</v>
      </c>
      <c r="G12" s="1"/>
    </row>
    <row r="13" spans="1:7" x14ac:dyDescent="0.25">
      <c r="A13" s="1"/>
      <c r="B13" s="37"/>
      <c r="C13" s="31"/>
      <c r="D13" s="31"/>
      <c r="E13" s="31"/>
      <c r="F13" s="20"/>
      <c r="G13" s="1"/>
    </row>
    <row r="14" spans="1:7" ht="51.75" customHeight="1" x14ac:dyDescent="0.25">
      <c r="A14" s="1"/>
      <c r="B14" s="88" t="s">
        <v>272</v>
      </c>
      <c r="C14" s="89"/>
      <c r="D14" s="89"/>
      <c r="E14" s="89"/>
      <c r="F14" s="9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273</v>
      </c>
      <c r="C16" s="99"/>
      <c r="D16" s="99"/>
      <c r="E16" s="99"/>
      <c r="F16" s="100"/>
      <c r="G16" s="1"/>
    </row>
    <row r="17" spans="1:7" x14ac:dyDescent="0.25">
      <c r="A17" s="1"/>
      <c r="B17" s="103" t="s">
        <v>274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275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7"/>
      <c r="C19" s="31"/>
      <c r="D19" s="31"/>
      <c r="E19" s="31"/>
      <c r="F19" s="20"/>
      <c r="G19" s="1"/>
    </row>
    <row r="20" spans="1:7" ht="29.25" customHeight="1" x14ac:dyDescent="0.25">
      <c r="A20" s="1"/>
      <c r="B20" s="88" t="s">
        <v>276</v>
      </c>
      <c r="C20" s="89"/>
      <c r="D20" s="89"/>
      <c r="E20" s="89"/>
      <c r="F20" s="9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4" t="s">
        <v>213</v>
      </c>
      <c r="C22" s="55"/>
      <c r="D22" s="55"/>
      <c r="E22" s="55"/>
      <c r="F22" s="56"/>
      <c r="G22" s="1"/>
    </row>
    <row r="23" spans="1:7" x14ac:dyDescent="0.25">
      <c r="A23" s="1"/>
      <c r="B23" s="60" t="s">
        <v>214</v>
      </c>
      <c r="C23" s="61"/>
      <c r="D23" s="62"/>
      <c r="E23" s="9">
        <v>136158185.51146981</v>
      </c>
      <c r="F23" s="14" t="s">
        <v>3</v>
      </c>
      <c r="G23" s="1"/>
    </row>
    <row r="24" spans="1:7" x14ac:dyDescent="0.25">
      <c r="A24" s="1"/>
      <c r="B24" s="60" t="s">
        <v>215</v>
      </c>
      <c r="C24" s="61"/>
      <c r="D24" s="62"/>
      <c r="E24" s="9">
        <v>138894166</v>
      </c>
      <c r="F24" s="14" t="s">
        <v>3</v>
      </c>
      <c r="G24" s="1"/>
    </row>
    <row r="25" spans="1:7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57" t="s">
        <v>277</v>
      </c>
      <c r="C26" s="58"/>
      <c r="D26" s="65"/>
      <c r="E26" s="47">
        <f>E23-(E24-E25)</f>
        <v>-2735980.4885301888</v>
      </c>
      <c r="F26" s="17" t="s">
        <v>3</v>
      </c>
      <c r="G26" s="1"/>
    </row>
    <row r="27" spans="1:7" x14ac:dyDescent="0.25">
      <c r="A27" s="1"/>
      <c r="B27" s="37"/>
      <c r="C27" s="31"/>
      <c r="D27" s="31"/>
      <c r="E27" s="3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8" t="s">
        <v>186</v>
      </c>
      <c r="C30" s="99"/>
      <c r="D30" s="99"/>
      <c r="E30" s="99"/>
      <c r="F30" s="100"/>
      <c r="G30" s="1"/>
    </row>
    <row r="31" spans="1:7" x14ac:dyDescent="0.25">
      <c r="A31" s="1"/>
      <c r="B31" s="115" t="s">
        <v>282</v>
      </c>
      <c r="C31" s="116"/>
      <c r="D31" s="117"/>
      <c r="E31" s="9">
        <v>0</v>
      </c>
      <c r="F31" s="14"/>
      <c r="G31" s="1"/>
    </row>
    <row r="32" spans="1:7" x14ac:dyDescent="0.25">
      <c r="A32" s="1"/>
      <c r="B32" s="115" t="s">
        <v>187</v>
      </c>
      <c r="C32" s="116"/>
      <c r="D32" s="117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-2735980.4885301888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188</v>
      </c>
      <c r="C34" s="118"/>
      <c r="D34" s="118"/>
      <c r="E34" s="10">
        <f>E32/E33</f>
        <v>-1367990.2442650944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88" t="s">
        <v>281</v>
      </c>
      <c r="C36" s="89"/>
      <c r="D36" s="89"/>
      <c r="E36" s="89"/>
      <c r="F36" s="9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g/Ca444iY4qM8gQC+60kOphssEh+0KOhHJ5C8dauRnoHchMOmS4QsbQ1pgJNL5tca//du0bFL1ri1QrgLE+lA==" saltValue="60idXNg58iQAZCY5tRJq5w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8" t="s">
        <v>217</v>
      </c>
      <c r="C9" s="99"/>
      <c r="D9" s="99"/>
      <c r="E9" s="99"/>
      <c r="F9" s="100"/>
      <c r="G9" s="1"/>
    </row>
    <row r="10" spans="1:7" x14ac:dyDescent="0.25">
      <c r="A10" s="1"/>
      <c r="B10" s="88" t="s">
        <v>118</v>
      </c>
      <c r="C10" s="89"/>
      <c r="D10" s="90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8" t="s">
        <v>109</v>
      </c>
      <c r="C13" s="99"/>
      <c r="D13" s="99"/>
      <c r="E13" s="99"/>
      <c r="F13" s="100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88" t="s">
        <v>220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7" t="s">
        <v>221</v>
      </c>
      <c r="C17" s="31"/>
      <c r="D17" s="31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ALv4zSfsMdMDbs8S8+6PMqu3CztqM4Uwf2lifQlu6ip1Oa1NR6YMSpvAIHFF9fGQQtyPFA5kguYLEUAzaaFDA==" saltValue="kTMeEQUCuunpyoJBCyBDL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178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6"/>
      <c r="I9" s="1"/>
    </row>
    <row r="10" spans="1:9" x14ac:dyDescent="0.25">
      <c r="A10" s="1"/>
      <c r="B10" s="66" t="s">
        <v>283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8" t="s">
        <v>179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lHG8CkOhQnQ8Y0kwGJOnl53y5OBjGP2GzOWnZUo0IRkQ56QY28CQBfgKe+8km7UGQx9NQOhvElLHP+3WKSrsw==" saltValue="w6Icb/JzrrWQ4nXIeUtnn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88</v>
      </c>
      <c r="C8" s="31"/>
      <c r="D8" s="31"/>
      <c r="E8" s="31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3"/>
      <c r="E9" s="52" t="s">
        <v>34</v>
      </c>
      <c r="F9" s="36"/>
      <c r="G9" s="1"/>
    </row>
    <row r="10" spans="1:7" x14ac:dyDescent="0.25">
      <c r="A10" s="1"/>
      <c r="B10" s="24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6" t="s">
        <v>279</v>
      </c>
      <c r="C11" s="22">
        <v>31061</v>
      </c>
      <c r="D11" s="14" t="s">
        <v>3</v>
      </c>
      <c r="E11" s="9">
        <v>652555</v>
      </c>
      <c r="F11" s="14" t="s">
        <v>3</v>
      </c>
      <c r="G11" s="1"/>
    </row>
    <row r="12" spans="1:7" x14ac:dyDescent="0.25">
      <c r="A12" s="1"/>
      <c r="B12" s="24" t="s">
        <v>280</v>
      </c>
      <c r="C12" s="22">
        <v>341981</v>
      </c>
      <c r="D12" s="14" t="s">
        <v>3</v>
      </c>
      <c r="E12" s="9">
        <v>503811</v>
      </c>
      <c r="F12" s="14" t="s">
        <v>3</v>
      </c>
      <c r="G12" s="1"/>
    </row>
    <row r="13" spans="1:7" x14ac:dyDescent="0.25">
      <c r="A13" s="1"/>
      <c r="B13" s="37" t="s">
        <v>163</v>
      </c>
      <c r="C13" s="12">
        <f>SUM(C10:C12)</f>
        <v>373042</v>
      </c>
      <c r="D13" s="13" t="s">
        <v>3</v>
      </c>
      <c r="E13" s="12">
        <f>SUM(E10:E12)</f>
        <v>1156366</v>
      </c>
      <c r="F13" s="13" t="s">
        <v>3</v>
      </c>
      <c r="G13" s="1"/>
    </row>
    <row r="14" spans="1:7" x14ac:dyDescent="0.25">
      <c r="A14" s="1"/>
      <c r="B14" s="37" t="s">
        <v>222</v>
      </c>
      <c r="C14" s="12">
        <f>C13*(1+'Fane 14. Nøgletal'!C14)</f>
        <v>374273.03860000003</v>
      </c>
      <c r="D14" s="13" t="s">
        <v>3</v>
      </c>
      <c r="E14" s="12">
        <f>E13*(1+'Fane 14. Nøgletal'!C14)</f>
        <v>1160182.0078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/6Z1wQRU5wh+PZWjg240snueLrT6NURUTomexr7jlWARMIR538hPsz+Dv1AQ7vSNzDfZDO6diO5wplplqtJ8Lw==" saltValue="DemzetcZ0na1kBY1C9Yys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112</v>
      </c>
      <c r="C8" s="99"/>
      <c r="D8" s="99"/>
      <c r="E8" s="99"/>
      <c r="F8" s="100"/>
      <c r="G8" s="1"/>
    </row>
    <row r="9" spans="1:7" x14ac:dyDescent="0.25">
      <c r="A9" s="1"/>
      <c r="B9" s="52" t="s">
        <v>18</v>
      </c>
      <c r="C9" s="52" t="s">
        <v>12</v>
      </c>
      <c r="D9" s="53"/>
      <c r="E9" s="52" t="s">
        <v>34</v>
      </c>
      <c r="F9" s="36"/>
      <c r="G9" s="1"/>
    </row>
    <row r="10" spans="1:7" x14ac:dyDescent="0.25">
      <c r="A10" s="1"/>
      <c r="B10" s="24" t="s">
        <v>284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/>
      <c r="C11" s="22"/>
      <c r="D11" s="14" t="s">
        <v>3</v>
      </c>
      <c r="E11" s="9"/>
      <c r="F11" s="14" t="s">
        <v>3</v>
      </c>
      <c r="G11" s="1"/>
    </row>
    <row r="12" spans="1:7" x14ac:dyDescent="0.25">
      <c r="A12" s="1"/>
      <c r="B12" s="24"/>
      <c r="C12" s="22"/>
      <c r="D12" s="14" t="s">
        <v>3</v>
      </c>
      <c r="E12" s="9"/>
      <c r="F12" s="14" t="s">
        <v>3</v>
      </c>
      <c r="G12" s="1"/>
    </row>
    <row r="13" spans="1:7" x14ac:dyDescent="0.25">
      <c r="A13" s="1"/>
      <c r="B13" s="37" t="s">
        <v>223</v>
      </c>
      <c r="C13" s="12">
        <f>SUM(C10:C12)</f>
        <v>0</v>
      </c>
      <c r="D13" s="13" t="s">
        <v>3</v>
      </c>
      <c r="E13" s="12">
        <f>SUM(E10:E12)</f>
        <v>0</v>
      </c>
      <c r="F13" s="13" t="s">
        <v>3</v>
      </c>
      <c r="G13" s="1"/>
    </row>
    <row r="14" spans="1:7" x14ac:dyDescent="0.25">
      <c r="A14" s="1"/>
      <c r="B14" s="26" t="s">
        <v>10</v>
      </c>
      <c r="C14" s="27">
        <f>-C13*'Fane 5. Individuelt eff. krav'!G12</f>
        <v>0</v>
      </c>
      <c r="D14" s="28" t="s">
        <v>3</v>
      </c>
      <c r="E14" s="27">
        <f>-E13*'Fane 5. Individuelt eff. krav'!G12</f>
        <v>0</v>
      </c>
      <c r="F14" s="28" t="s">
        <v>3</v>
      </c>
      <c r="G14" s="1"/>
    </row>
    <row r="15" spans="1:7" x14ac:dyDescent="0.25">
      <c r="A15" s="1"/>
      <c r="B15" s="26" t="s">
        <v>114</v>
      </c>
      <c r="C15" s="27">
        <f>-C13*'Fane 14. Nøgletal'!C29</f>
        <v>0</v>
      </c>
      <c r="D15" s="28" t="s">
        <v>3</v>
      </c>
      <c r="E15" s="27">
        <f>-E13*'Fane 14. Nøgletal'!C24</f>
        <v>0</v>
      </c>
      <c r="F15" s="28" t="s">
        <v>3</v>
      </c>
      <c r="G15" s="1"/>
    </row>
    <row r="16" spans="1:7" x14ac:dyDescent="0.25">
      <c r="A16" s="1"/>
      <c r="B16" s="37" t="s">
        <v>164</v>
      </c>
      <c r="C16" s="12">
        <f>SUM(C13:C15)*(1+'Fane 14. Nøgletal'!C14)^2</f>
        <v>0</v>
      </c>
      <c r="D16" s="13" t="s">
        <v>3</v>
      </c>
      <c r="E16" s="12">
        <f>SUM(E13:E15)*(1+'Fane 14. Nøgletal'!C14)^2</f>
        <v>0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8" t="s">
        <v>113</v>
      </c>
      <c r="C18" s="99"/>
      <c r="D18" s="99"/>
      <c r="E18" s="99"/>
      <c r="F18" s="100"/>
      <c r="G18" s="1"/>
    </row>
    <row r="19" spans="1:7" x14ac:dyDescent="0.25">
      <c r="A19" s="1"/>
      <c r="B19" s="52" t="s">
        <v>18</v>
      </c>
      <c r="C19" s="52" t="s">
        <v>12</v>
      </c>
      <c r="D19" s="53"/>
      <c r="E19" s="52" t="s">
        <v>34</v>
      </c>
      <c r="F19" s="36"/>
      <c r="G19" s="1"/>
    </row>
    <row r="20" spans="1:7" x14ac:dyDescent="0.25">
      <c r="A20" s="1"/>
      <c r="B20" s="24" t="s">
        <v>284</v>
      </c>
      <c r="C20" s="22">
        <v>0</v>
      </c>
      <c r="D20" s="14" t="s">
        <v>3</v>
      </c>
      <c r="E20" s="9">
        <v>0</v>
      </c>
      <c r="F20" s="14" t="s">
        <v>3</v>
      </c>
      <c r="G20" s="1"/>
    </row>
    <row r="21" spans="1:7" x14ac:dyDescent="0.25">
      <c r="A21" s="1"/>
      <c r="B21" s="37" t="s">
        <v>223</v>
      </c>
      <c r="C21" s="12">
        <f>SUM(C20:C20)</f>
        <v>0</v>
      </c>
      <c r="D21" s="13" t="s">
        <v>3</v>
      </c>
      <c r="E21" s="12">
        <f>SUM(E20:E20)</f>
        <v>0</v>
      </c>
      <c r="F21" s="13" t="s">
        <v>3</v>
      </c>
      <c r="G21" s="1"/>
    </row>
    <row r="22" spans="1:7" x14ac:dyDescent="0.25">
      <c r="A22" s="1"/>
      <c r="B22" s="26" t="s">
        <v>10</v>
      </c>
      <c r="C22" s="27">
        <f>-C21*'Fane 5. Individuelt eff. krav'!G12</f>
        <v>0</v>
      </c>
      <c r="D22" s="28" t="s">
        <v>3</v>
      </c>
      <c r="E22" s="27">
        <f>-E21*'Fane 5. Individuelt eff. krav'!G12</f>
        <v>0</v>
      </c>
      <c r="F22" s="28" t="s">
        <v>3</v>
      </c>
      <c r="G22" s="1"/>
    </row>
    <row r="23" spans="1:7" x14ac:dyDescent="0.25">
      <c r="A23" s="1"/>
      <c r="B23" s="26" t="s">
        <v>114</v>
      </c>
      <c r="C23" s="27">
        <f>-C21*'Fane 14. Nøgletal'!C29</f>
        <v>0</v>
      </c>
      <c r="D23" s="28" t="s">
        <v>3</v>
      </c>
      <c r="E23" s="27">
        <f>-E21*'Fane 14. Nøgletal'!C24</f>
        <v>0</v>
      </c>
      <c r="F23" s="28" t="s">
        <v>3</v>
      </c>
      <c r="G23" s="1"/>
    </row>
    <row r="24" spans="1:7" x14ac:dyDescent="0.25">
      <c r="A24" s="1"/>
      <c r="B24" s="37" t="s">
        <v>165</v>
      </c>
      <c r="C24" s="12">
        <f>SUM(C21:C23)*(1+'Fane 14. Nøgletal'!C14)^3</f>
        <v>0</v>
      </c>
      <c r="D24" s="13" t="s">
        <v>3</v>
      </c>
      <c r="E24" s="12">
        <f>SUM(E21:E23)*(1+'Fane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166</v>
      </c>
      <c r="C26" s="99"/>
      <c r="D26" s="99"/>
      <c r="E26" s="99"/>
      <c r="F26" s="100"/>
      <c r="G26" s="1"/>
    </row>
    <row r="27" spans="1:7" x14ac:dyDescent="0.25">
      <c r="A27" s="1"/>
      <c r="B27" s="52" t="s">
        <v>18</v>
      </c>
      <c r="C27" s="52" t="s">
        <v>12</v>
      </c>
      <c r="D27" s="53"/>
      <c r="E27" s="52" t="s">
        <v>34</v>
      </c>
      <c r="F27" s="36"/>
      <c r="G27" s="1"/>
    </row>
    <row r="28" spans="1:7" x14ac:dyDescent="0.25">
      <c r="A28" s="1"/>
      <c r="B28" s="24" t="s">
        <v>284</v>
      </c>
      <c r="C28" s="22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223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26" t="s">
        <v>10</v>
      </c>
      <c r="C30" s="27">
        <f>-C29*'Fane 5. Individuelt eff. krav'!G12</f>
        <v>0</v>
      </c>
      <c r="D30" s="28" t="s">
        <v>3</v>
      </c>
      <c r="E30" s="27">
        <f>-E29*'Fane 5. Individuelt eff. krav'!G12</f>
        <v>0</v>
      </c>
      <c r="F30" s="28" t="s">
        <v>3</v>
      </c>
      <c r="G30" s="1"/>
    </row>
    <row r="31" spans="1:7" x14ac:dyDescent="0.25">
      <c r="A31" s="1"/>
      <c r="B31" s="26" t="s">
        <v>114</v>
      </c>
      <c r="C31" s="27">
        <f>-C29*'Fane 14. Nøgletal'!C29</f>
        <v>0</v>
      </c>
      <c r="D31" s="28" t="s">
        <v>3</v>
      </c>
      <c r="E31" s="27">
        <f>-E29*'Fane 14. Nøgletal'!C24</f>
        <v>0</v>
      </c>
      <c r="F31" s="28" t="s">
        <v>3</v>
      </c>
      <c r="G31" s="1"/>
    </row>
    <row r="32" spans="1:7" x14ac:dyDescent="0.25">
      <c r="A32" s="1"/>
      <c r="B32" s="37" t="s">
        <v>167</v>
      </c>
      <c r="C32" s="12">
        <f>SUM(C29:C31)*(1+'Fane 14. Nøgletal'!C14)^4</f>
        <v>0</v>
      </c>
      <c r="D32" s="13" t="s">
        <v>3</v>
      </c>
      <c r="E32" s="12">
        <f>SUM(E29:E31)*(1+'Fane 14. Nøgletal'!C14)^4</f>
        <v>0</v>
      </c>
      <c r="F32" s="13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8" t="s">
        <v>224</v>
      </c>
      <c r="C34" s="99"/>
      <c r="D34" s="99"/>
      <c r="E34" s="99"/>
      <c r="F34" s="100"/>
      <c r="G34" s="1"/>
    </row>
    <row r="35" spans="1:7" x14ac:dyDescent="0.25">
      <c r="A35" s="1"/>
      <c r="B35" s="52" t="s">
        <v>18</v>
      </c>
      <c r="C35" s="52" t="s">
        <v>12</v>
      </c>
      <c r="D35" s="53"/>
      <c r="E35" s="52" t="s">
        <v>34</v>
      </c>
      <c r="F35" s="36"/>
      <c r="G35" s="1"/>
    </row>
    <row r="36" spans="1:7" x14ac:dyDescent="0.25">
      <c r="A36" s="1"/>
      <c r="B36" s="24" t="s">
        <v>284</v>
      </c>
      <c r="C36" s="22">
        <v>0</v>
      </c>
      <c r="D36" s="14" t="s">
        <v>3</v>
      </c>
      <c r="E36" s="9">
        <v>0</v>
      </c>
      <c r="F36" s="14" t="s">
        <v>3</v>
      </c>
      <c r="G36" s="1"/>
    </row>
    <row r="37" spans="1:7" x14ac:dyDescent="0.25">
      <c r="A37" s="1"/>
      <c r="B37" s="37" t="s">
        <v>223</v>
      </c>
      <c r="C37" s="12">
        <f>SUM(C36:C36)</f>
        <v>0</v>
      </c>
      <c r="D37" s="13" t="s">
        <v>3</v>
      </c>
      <c r="E37" s="12">
        <f>SUM(E36:E36)</f>
        <v>0</v>
      </c>
      <c r="F37" s="13" t="s">
        <v>3</v>
      </c>
      <c r="G37" s="1"/>
    </row>
    <row r="38" spans="1:7" x14ac:dyDescent="0.25">
      <c r="A38" s="1"/>
      <c r="B38" s="26" t="s">
        <v>10</v>
      </c>
      <c r="C38" s="27">
        <f>-C37*'Fane 5. Individuelt eff. krav'!G12</f>
        <v>0</v>
      </c>
      <c r="D38" s="28" t="s">
        <v>3</v>
      </c>
      <c r="E38" s="27">
        <f>-E37*'Fane 5. Individuelt eff. krav'!G12</f>
        <v>0</v>
      </c>
      <c r="F38" s="28" t="s">
        <v>3</v>
      </c>
      <c r="G38" s="1"/>
    </row>
    <row r="39" spans="1:7" x14ac:dyDescent="0.25">
      <c r="A39" s="1"/>
      <c r="B39" s="26" t="s">
        <v>114</v>
      </c>
      <c r="C39" s="27">
        <f>-C37*'Fane 14. Nøgletal'!C29</f>
        <v>0</v>
      </c>
      <c r="D39" s="28" t="s">
        <v>3</v>
      </c>
      <c r="E39" s="27">
        <f>-E37*'Fane 14. Nøgletal'!C24</f>
        <v>0</v>
      </c>
      <c r="F39" s="28" t="s">
        <v>3</v>
      </c>
      <c r="G39" s="1"/>
    </row>
    <row r="40" spans="1:7" x14ac:dyDescent="0.25">
      <c r="A40" s="1"/>
      <c r="B40" s="37" t="s">
        <v>225</v>
      </c>
      <c r="C40" s="12">
        <f>SUM(C37:C39)*(1+'Fane 14. Nøgletal'!C14)^5</f>
        <v>0</v>
      </c>
      <c r="D40" s="13" t="s">
        <v>3</v>
      </c>
      <c r="E40" s="12">
        <f>SUM(E37:E39)*(1+'Fane 14. Nøgletal'!C14)^5</f>
        <v>0</v>
      </c>
      <c r="F40" s="13" t="s">
        <v>3</v>
      </c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JZC9DXGnAig2m02xBQOZEqDMkv3LVky9ixPMBCbKu2e64Jh+o+MGKeAhn44eApY0RnrvSioIYAJqK1u7/vGuTw==" saltValue="b8lM/VDYKWdNHTx/3QjD6w==" spinCount="100000" sheet="1" objects="1" scenarios="1"/>
  <mergeCells count="5">
    <mergeCell ref="B3:F4"/>
    <mergeCell ref="B8:F8"/>
    <mergeCell ref="B18:F18"/>
    <mergeCell ref="B26:F26"/>
    <mergeCell ref="B34:F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103</v>
      </c>
      <c r="C8" s="99"/>
      <c r="D8" s="99"/>
      <c r="E8" s="99"/>
      <c r="F8" s="100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92" t="s">
        <v>10</v>
      </c>
      <c r="C10" s="93"/>
      <c r="D10" s="94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2" t="s">
        <v>26</v>
      </c>
      <c r="C11" s="93"/>
      <c r="D11" s="94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8" t="s">
        <v>105</v>
      </c>
      <c r="C12" s="99"/>
      <c r="D12" s="100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104</v>
      </c>
      <c r="C14" s="99"/>
      <c r="D14" s="99"/>
      <c r="E14" s="99"/>
      <c r="F14" s="100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92" t="s">
        <v>10</v>
      </c>
      <c r="C16" s="93"/>
      <c r="D16" s="94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2" t="s">
        <v>26</v>
      </c>
      <c r="C17" s="93"/>
      <c r="D17" s="94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8" t="s">
        <v>106</v>
      </c>
      <c r="C18" s="99"/>
      <c r="D18" s="100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155</v>
      </c>
      <c r="C20" s="99"/>
      <c r="D20" s="99"/>
      <c r="E20" s="99"/>
      <c r="F20" s="100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92" t="s">
        <v>10</v>
      </c>
      <c r="C22" s="93"/>
      <c r="D22" s="94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2" t="s">
        <v>26</v>
      </c>
      <c r="C23" s="93"/>
      <c r="D23" s="94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8" t="s">
        <v>156</v>
      </c>
      <c r="C24" s="99"/>
      <c r="D24" s="100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227</v>
      </c>
      <c r="C26" s="99"/>
      <c r="D26" s="99"/>
      <c r="E26" s="99"/>
      <c r="F26" s="100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92" t="s">
        <v>10</v>
      </c>
      <c r="C28" s="93"/>
      <c r="D28" s="94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2" t="s">
        <v>26</v>
      </c>
      <c r="C29" s="93"/>
      <c r="D29" s="94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8" t="s">
        <v>228</v>
      </c>
      <c r="C30" s="99"/>
      <c r="D30" s="100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27xkUk7nSVE8AjAFkCLCzFXcJpsRbQtVkuODXITY1/j5K/V8cQu34x0cCNU05409zmWr4gT/9Tq2+C5hWpB6g==" saltValue="90/WrEieZjR2QxGExoej6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157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158</v>
      </c>
      <c r="C8" s="99"/>
      <c r="D8" s="99"/>
      <c r="E8" s="99"/>
      <c r="F8" s="100"/>
      <c r="G8" s="1"/>
    </row>
    <row r="9" spans="1:7" ht="15" customHeight="1" x14ac:dyDescent="0.25">
      <c r="A9" s="1"/>
      <c r="B9" s="35" t="s">
        <v>159</v>
      </c>
      <c r="C9" s="35" t="s">
        <v>12</v>
      </c>
      <c r="D9" s="36"/>
      <c r="E9" s="35" t="s">
        <v>34</v>
      </c>
      <c r="F9" s="36"/>
      <c r="G9" s="1"/>
    </row>
    <row r="10" spans="1:7" x14ac:dyDescent="0.25">
      <c r="A10" s="1"/>
      <c r="B10" s="24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pZXVT0Jx2vhzjwgYsaxIeAd8uG9PRPWFw34xbS6OO7n4TjQPNpUVdKE2YkdGJZfLQkCdZs5MuOkxQEpDp/RMLg==" saltValue="opoEsvRQyRpOUsH5FY/TC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107</v>
      </c>
      <c r="C8" s="99"/>
      <c r="D8" s="99"/>
      <c r="E8" s="99"/>
      <c r="F8" s="100"/>
      <c r="G8" s="1"/>
    </row>
    <row r="9" spans="1:7" ht="15" customHeight="1" x14ac:dyDescent="0.25">
      <c r="A9" s="1"/>
      <c r="B9" s="35" t="s">
        <v>19</v>
      </c>
      <c r="C9" s="35" t="s">
        <v>12</v>
      </c>
      <c r="D9" s="36"/>
      <c r="E9" s="35" t="s">
        <v>34</v>
      </c>
      <c r="F9" s="36"/>
      <c r="G9" s="1"/>
    </row>
    <row r="10" spans="1:7" x14ac:dyDescent="0.25">
      <c r="A10" s="1"/>
      <c r="B10" s="24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108</v>
      </c>
      <c r="C14" s="99"/>
      <c r="D14" s="99"/>
      <c r="E14" s="99"/>
      <c r="F14" s="100"/>
      <c r="G14" s="1"/>
    </row>
    <row r="15" spans="1:7" ht="26.25" x14ac:dyDescent="0.25">
      <c r="A15" s="1"/>
      <c r="B15" s="35" t="s">
        <v>19</v>
      </c>
      <c r="C15" s="35" t="s">
        <v>12</v>
      </c>
      <c r="D15" s="36"/>
      <c r="E15" s="35" t="s">
        <v>34</v>
      </c>
      <c r="F15" s="36"/>
      <c r="G15" s="1"/>
    </row>
    <row r="16" spans="1:7" x14ac:dyDescent="0.25">
      <c r="A16" s="1"/>
      <c r="B16" s="24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169</v>
      </c>
      <c r="C20" s="99"/>
      <c r="D20" s="99"/>
      <c r="E20" s="99"/>
      <c r="F20" s="100"/>
      <c r="G20" s="1"/>
    </row>
    <row r="21" spans="1:7" ht="26.25" x14ac:dyDescent="0.25">
      <c r="A21" s="1"/>
      <c r="B21" s="35" t="s">
        <v>19</v>
      </c>
      <c r="C21" s="35" t="s">
        <v>12</v>
      </c>
      <c r="D21" s="36"/>
      <c r="E21" s="35" t="s">
        <v>34</v>
      </c>
      <c r="F21" s="36"/>
      <c r="G21" s="1"/>
    </row>
    <row r="22" spans="1:7" x14ac:dyDescent="0.25">
      <c r="A22" s="1"/>
      <c r="B22" s="24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231</v>
      </c>
      <c r="C26" s="99"/>
      <c r="D26" s="99"/>
      <c r="E26" s="99"/>
      <c r="F26" s="100"/>
      <c r="G26" s="1"/>
    </row>
    <row r="27" spans="1:7" ht="26.25" x14ac:dyDescent="0.25">
      <c r="A27" s="1"/>
      <c r="B27" s="35" t="s">
        <v>19</v>
      </c>
      <c r="C27" s="35" t="s">
        <v>12</v>
      </c>
      <c r="D27" s="36"/>
      <c r="E27" s="35" t="s">
        <v>34</v>
      </c>
      <c r="F27" s="36"/>
      <c r="G27" s="1"/>
    </row>
    <row r="28" spans="1:7" x14ac:dyDescent="0.25">
      <c r="A28" s="1"/>
      <c r="B28" s="24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+GBfpjwXQ/YON6SOzmMZ2mzHKwh7Sx3y6CP9bRHFosVPz2dYon9DNYbdXEZD/Txg9ODsf9GQH/wwg/w+aRxZg==" saltValue="I7rRjmnhGthQKBYNwcArX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189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63" t="s">
        <v>137</v>
      </c>
      <c r="C9" s="25">
        <v>1.2699999999999999E-2</v>
      </c>
      <c r="D9" s="1"/>
    </row>
    <row r="10" spans="1:4" x14ac:dyDescent="0.25">
      <c r="A10" s="1"/>
      <c r="B10" s="63" t="s">
        <v>138</v>
      </c>
      <c r="C10" s="25">
        <v>1.7500000000000002E-2</v>
      </c>
      <c r="D10" s="1"/>
    </row>
    <row r="11" spans="1:4" x14ac:dyDescent="0.25">
      <c r="A11" s="1"/>
      <c r="B11" s="63" t="s">
        <v>24</v>
      </c>
      <c r="C11" s="25">
        <v>1.6899999999999998E-2</v>
      </c>
      <c r="D11" s="1"/>
    </row>
    <row r="12" spans="1:4" x14ac:dyDescent="0.25">
      <c r="A12" s="1"/>
      <c r="B12" s="38" t="s">
        <v>254</v>
      </c>
      <c r="C12" s="39">
        <v>1.9699999999999999E-2</v>
      </c>
      <c r="D12" s="1"/>
    </row>
    <row r="13" spans="1:4" x14ac:dyDescent="0.25">
      <c r="A13" s="1"/>
      <c r="B13" s="38" t="s">
        <v>162</v>
      </c>
      <c r="C13" s="39">
        <v>1.2200000000000001E-2</v>
      </c>
      <c r="D13" s="1"/>
    </row>
    <row r="14" spans="1:4" x14ac:dyDescent="0.25">
      <c r="A14" s="1"/>
      <c r="B14" s="63" t="s">
        <v>253</v>
      </c>
      <c r="C14" s="49">
        <v>3.3E-3</v>
      </c>
      <c r="D14" s="1"/>
    </row>
    <row r="15" spans="1:4" x14ac:dyDescent="0.25">
      <c r="A15" s="1"/>
      <c r="B15" s="37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7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0">
        <v>2.8400000000000002E-2</v>
      </c>
      <c r="D22" s="1"/>
    </row>
    <row r="23" spans="1:4" x14ac:dyDescent="0.25">
      <c r="A23" s="1"/>
      <c r="B23" s="63" t="s">
        <v>192</v>
      </c>
      <c r="C23" s="40">
        <v>2.75E-2</v>
      </c>
      <c r="D23" s="1"/>
    </row>
    <row r="24" spans="1:4" x14ac:dyDescent="0.25">
      <c r="A24" s="1"/>
      <c r="B24" s="63" t="s">
        <v>193</v>
      </c>
      <c r="C24" s="40">
        <v>1.4800000000000001E-2</v>
      </c>
      <c r="D24" s="1"/>
    </row>
    <row r="25" spans="1:4" x14ac:dyDescent="0.25">
      <c r="A25" s="1"/>
      <c r="B25" s="37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7" t="s">
        <v>122</v>
      </c>
      <c r="C28" s="20"/>
      <c r="D28" s="1"/>
    </row>
    <row r="29" spans="1:4" x14ac:dyDescent="0.25">
      <c r="A29" s="1"/>
      <c r="B29" s="63" t="s">
        <v>141</v>
      </c>
      <c r="C29" s="25">
        <v>0.02</v>
      </c>
      <c r="D29" s="1"/>
    </row>
    <row r="30" spans="1:4" x14ac:dyDescent="0.25">
      <c r="A30" s="1"/>
      <c r="B30" s="37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RUsD7Wtb36K7VbmVUPbfTnNDtpU7G5bS+1Y+es6WU5JJ77uxsgijY2pjpT+DAd42biBUhmifaDJXm0WpLJB20A==" saltValue="+kQC2TRmx1bF0h+BQ6Mpc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1"/>
      <c r="D8" s="20"/>
      <c r="E8" s="1"/>
    </row>
    <row r="9" spans="1:5" x14ac:dyDescent="0.25">
      <c r="A9" s="1"/>
      <c r="B9" s="32" t="s">
        <v>260</v>
      </c>
      <c r="C9" s="7">
        <f>'Fane 3. Omkostninger i ØR2021'!E20</f>
        <v>137786115.15414745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tillæg'!C14</f>
        <v>374273.03860000003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tillæg'!E14</f>
        <v>1160182.0078</v>
      </c>
      <c r="D11" s="8" t="s">
        <v>3</v>
      </c>
      <c r="E11" s="1"/>
    </row>
    <row r="12" spans="1:5" ht="17.100000000000001" customHeight="1" x14ac:dyDescent="0.2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459757.8816618066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-SUM(C9:C16)*'Fane 5. Individuelt eff. krav'!G12</f>
        <v>-1715354.7522540421</v>
      </c>
      <c r="D17" s="8" t="s">
        <v>3</v>
      </c>
      <c r="E17" s="1"/>
    </row>
    <row r="18" spans="1:5" ht="17.100000000000001" customHeight="1" x14ac:dyDescent="0.25">
      <c r="A18" s="1"/>
      <c r="B18" s="51" t="s">
        <v>26</v>
      </c>
      <c r="C18" s="9">
        <f>-'Fane 4.1. Gen. krav - drift'!G40</f>
        <v>-1177641.9081451821</v>
      </c>
      <c r="D18" s="8" t="s">
        <v>3</v>
      </c>
      <c r="E18" s="1"/>
    </row>
    <row r="19" spans="1:5" ht="17.100000000000001" customHeight="1" x14ac:dyDescent="0.25">
      <c r="A19" s="1"/>
      <c r="B19" s="51" t="s">
        <v>27</v>
      </c>
      <c r="C19" s="9">
        <f>-'Fane 4.2. Gen. krav - anlæg'!G37</f>
        <v>-1333345.7933704536</v>
      </c>
      <c r="D19" s="8" t="s">
        <v>3</v>
      </c>
      <c r="E19" s="1"/>
    </row>
    <row r="20" spans="1:5" ht="17.100000000000001" customHeight="1" x14ac:dyDescent="0.25">
      <c r="A20" s="1"/>
      <c r="B20" s="57" t="s">
        <v>22</v>
      </c>
      <c r="C20" s="10">
        <f>SUM(C9:C19)</f>
        <v>135553985.62843958</v>
      </c>
      <c r="D20" s="11" t="s">
        <v>3</v>
      </c>
      <c r="E20" s="1"/>
    </row>
    <row r="21" spans="1:5" ht="15" customHeight="1" x14ac:dyDescent="0.25">
      <c r="A21" s="1"/>
      <c r="B21" s="37" t="s">
        <v>13</v>
      </c>
      <c r="C21" s="31"/>
      <c r="D21" s="20"/>
      <c r="E21" s="1"/>
    </row>
    <row r="22" spans="1:5" ht="15" customHeight="1" x14ac:dyDescent="0.25">
      <c r="A22" s="1"/>
      <c r="B22" s="35" t="s">
        <v>13</v>
      </c>
      <c r="C22" s="10">
        <f>'Fane 6. Ikke-påvirkelige omk.'!C15+'Fane 6. Ikke-påvirkelige omk.'!C19+'Fane 6. Ikke-påvirkelige omk.'!C27</f>
        <v>2379374.4780157204</v>
      </c>
      <c r="D22" s="11" t="s">
        <v>3</v>
      </c>
      <c r="E22" s="1"/>
    </row>
    <row r="23" spans="1:5" ht="15" customHeight="1" x14ac:dyDescent="0.25">
      <c r="A23" s="1"/>
      <c r="B23" s="37" t="s">
        <v>94</v>
      </c>
      <c r="C23" s="31"/>
      <c r="D23" s="20"/>
      <c r="E23" s="1"/>
    </row>
    <row r="24" spans="1:5" ht="15" customHeight="1" x14ac:dyDescent="0.2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7" t="s">
        <v>93</v>
      </c>
      <c r="C25" s="31"/>
      <c r="D25" s="20"/>
      <c r="E25" s="1"/>
    </row>
    <row r="26" spans="1:5" ht="15" customHeight="1" x14ac:dyDescent="0.25">
      <c r="A26" s="1"/>
      <c r="B26" s="51" t="s">
        <v>89</v>
      </c>
      <c r="C26" s="9">
        <f>'Fane 10.2. Engangstillæg'!C16</f>
        <v>0</v>
      </c>
      <c r="D26" s="8" t="s">
        <v>3</v>
      </c>
      <c r="E26" s="1"/>
    </row>
    <row r="27" spans="1:5" ht="15" customHeight="1" x14ac:dyDescent="0.25">
      <c r="A27" s="1"/>
      <c r="B27" s="51" t="s">
        <v>90</v>
      </c>
      <c r="C27" s="9">
        <f>'Fane 10.2. Engangstillæg'!E16</f>
        <v>0</v>
      </c>
      <c r="D27" s="8" t="s">
        <v>3</v>
      </c>
      <c r="E27" s="1"/>
    </row>
    <row r="28" spans="1:5" x14ac:dyDescent="0.2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7" t="s">
        <v>187</v>
      </c>
      <c r="C29" s="31"/>
      <c r="D29" s="20"/>
      <c r="E29" s="1"/>
    </row>
    <row r="30" spans="1:5" x14ac:dyDescent="0.25">
      <c r="A30" s="1"/>
      <c r="B30" s="35" t="s">
        <v>286</v>
      </c>
      <c r="C30" s="10">
        <f>'Fane 7. Kontrol af ØR2020'!E34</f>
        <v>-1367990.2442650944</v>
      </c>
      <c r="D30" s="11" t="s">
        <v>3</v>
      </c>
      <c r="E30" s="1"/>
    </row>
    <row r="31" spans="1:5" ht="15" customHeight="1" x14ac:dyDescent="0.25">
      <c r="A31" s="1"/>
      <c r="B31" s="37" t="s">
        <v>195</v>
      </c>
      <c r="C31" s="31"/>
      <c r="D31" s="20"/>
      <c r="E31" s="1"/>
    </row>
    <row r="32" spans="1:5" x14ac:dyDescent="0.25">
      <c r="A32" s="1"/>
      <c r="B32" s="35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4" t="s">
        <v>258</v>
      </c>
      <c r="C33" s="31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7" t="s">
        <v>32</v>
      </c>
      <c r="C35" s="33">
        <f>SUM(C32,C30,C28,C24,C22,C20)</f>
        <v>136565369.86219019</v>
      </c>
      <c r="D35" s="34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aiC8Ur5xUgM2tY2vpmKmqW2h0TlJNbT6ihdHT+BfgwObJAei9X9GDffr0NI2D2zclxO15mfv26TjnPgBUDskA==" saltValue="j6IxwrxA2nZdIqWOqLi1D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/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1"/>
      <c r="D8" s="20"/>
      <c r="E8" s="1"/>
    </row>
    <row r="9" spans="1:5" ht="15" customHeight="1" x14ac:dyDescent="0.25">
      <c r="A9" s="1"/>
      <c r="B9" s="32" t="s">
        <v>151</v>
      </c>
      <c r="C9" s="7">
        <f>'Fane 2.1. Økonomisk ramme 2022'!C20</f>
        <v>135553985.62843958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29" t="s">
        <v>20</v>
      </c>
      <c r="C12" s="9">
        <f>SUM(C9:C11)*'Fane 14. Nøgletal'!C14</f>
        <v>447328.15257385059</v>
      </c>
      <c r="D12" s="8" t="s">
        <v>3</v>
      </c>
      <c r="E12" s="1"/>
    </row>
    <row r="13" spans="1:5" ht="15" customHeight="1" x14ac:dyDescent="0.25">
      <c r="A13" s="1"/>
      <c r="B13" s="29" t="s">
        <v>10</v>
      </c>
      <c r="C13" s="9">
        <f>-SUM(C9:C12)*'Fane 5. Individuelt eff. krav'!G12</f>
        <v>-1668979.4845083563</v>
      </c>
      <c r="D13" s="8" t="s">
        <v>3</v>
      </c>
      <c r="E13" s="1"/>
    </row>
    <row r="14" spans="1:5" ht="15" customHeight="1" x14ac:dyDescent="0.25">
      <c r="A14" s="1"/>
      <c r="B14" s="29" t="s">
        <v>26</v>
      </c>
      <c r="C14" s="9">
        <f>-'Fane 4.1. Gen. krav - drift'!G47</f>
        <v>-1157897.5639132201</v>
      </c>
      <c r="D14" s="8" t="s">
        <v>3</v>
      </c>
      <c r="E14" s="1"/>
    </row>
    <row r="15" spans="1:5" ht="15" customHeight="1" x14ac:dyDescent="0.25">
      <c r="A15" s="1"/>
      <c r="B15" s="29" t="s">
        <v>27</v>
      </c>
      <c r="C15" s="9">
        <f>-'Fane 4.2. Gen. krav - anlæg'!G44</f>
        <v>-1317947.1961381454</v>
      </c>
      <c r="D15" s="8" t="s">
        <v>3</v>
      </c>
      <c r="E15" s="1"/>
    </row>
    <row r="16" spans="1:5" ht="15" customHeight="1" x14ac:dyDescent="0.25">
      <c r="A16" s="1"/>
      <c r="B16" s="30" t="s">
        <v>22</v>
      </c>
      <c r="C16" s="10">
        <f>SUM(C9:C15)</f>
        <v>131856489.53645369</v>
      </c>
      <c r="D16" s="11" t="s">
        <v>3</v>
      </c>
      <c r="E16" s="1"/>
    </row>
    <row r="17" spans="1:5" x14ac:dyDescent="0.25">
      <c r="A17" s="1"/>
      <c r="B17" s="37" t="s">
        <v>13</v>
      </c>
      <c r="C17" s="31"/>
      <c r="D17" s="20"/>
      <c r="E17" s="1"/>
    </row>
    <row r="18" spans="1:5" ht="15" customHeight="1" x14ac:dyDescent="0.25">
      <c r="A18" s="1"/>
      <c r="B18" s="35" t="s">
        <v>13</v>
      </c>
      <c r="C18" s="10">
        <f>'Fane 6. Ikke-påvirkelige omk.'!C15*(1+'Fane 14. Nøgletal'!C14)+'Fane 6. Ikke-påvirkelige omk.'!C20+'Fane 6. Ikke-påvirkelige omk.'!C28</f>
        <v>2387226.4137931722</v>
      </c>
      <c r="D18" s="11" t="s">
        <v>3</v>
      </c>
      <c r="E18" s="1"/>
    </row>
    <row r="19" spans="1:5" ht="15" customHeight="1" x14ac:dyDescent="0.25">
      <c r="A19" s="1"/>
      <c r="B19" s="37" t="s">
        <v>94</v>
      </c>
      <c r="C19" s="31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7" t="s">
        <v>93</v>
      </c>
      <c r="C21" s="31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Engangstillæg'!C24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Engangstillæg'!E24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7" t="s">
        <v>187</v>
      </c>
      <c r="C25" s="31"/>
      <c r="D25" s="20"/>
      <c r="E25" s="1"/>
    </row>
    <row r="26" spans="1:5" ht="15" customHeight="1" x14ac:dyDescent="0.25">
      <c r="A26" s="1"/>
      <c r="B26" s="35" t="s">
        <v>286</v>
      </c>
      <c r="C26" s="10">
        <f>'Fane 7. Kontrol af ØR2020'!E34</f>
        <v>-1367990.2442650944</v>
      </c>
      <c r="D26" s="11" t="s">
        <v>3</v>
      </c>
      <c r="E26" s="1"/>
    </row>
    <row r="27" spans="1:5" x14ac:dyDescent="0.25">
      <c r="A27" s="1"/>
      <c r="B27" s="34" t="s">
        <v>258</v>
      </c>
      <c r="C27" s="31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7" t="s">
        <v>102</v>
      </c>
      <c r="C29" s="12">
        <f>SUM(C16,C18,C20,C24,C26,C28)</f>
        <v>132875725.70598178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lx8us/TFwYAnl+RGi+TQphqSyOh9AbJUPz2iNLLi4C0dRYKXVHLBorRAtH9BvQeDaHBmFPLn57jjF5zCo+KsbQ==" saltValue="FNJAsKI+LrKf5Zt6lpFXG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1"/>
      <c r="D8" s="20"/>
      <c r="E8" s="1"/>
    </row>
    <row r="9" spans="1:5" ht="15" customHeight="1" x14ac:dyDescent="0.25">
      <c r="A9" s="1"/>
      <c r="B9" s="32" t="s">
        <v>152</v>
      </c>
      <c r="C9" s="7">
        <f>'Fane 2.2. Økonomisk ramme 2023'!C16</f>
        <v>131856489.53645369</v>
      </c>
      <c r="D9" s="8" t="s">
        <v>3</v>
      </c>
      <c r="E9" s="1"/>
    </row>
    <row r="10" spans="1:5" ht="15" customHeight="1" x14ac:dyDescent="0.25">
      <c r="A10" s="1"/>
      <c r="B10" s="32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2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29" t="s">
        <v>20</v>
      </c>
      <c r="C12" s="9">
        <f>SUM(C9:C11)*'Fane 14. Nøgletal'!C14</f>
        <v>435126.41547029722</v>
      </c>
      <c r="D12" s="8" t="s">
        <v>3</v>
      </c>
      <c r="E12" s="1"/>
    </row>
    <row r="13" spans="1:5" ht="15" customHeight="1" x14ac:dyDescent="0.25">
      <c r="A13" s="1"/>
      <c r="B13" s="29" t="s">
        <v>10</v>
      </c>
      <c r="C13" s="9">
        <f>-SUM(C9:C12)*'Fane 5. Individuelt eff. krav'!G12</f>
        <v>-1623454.8539121789</v>
      </c>
      <c r="D13" s="8" t="s">
        <v>3</v>
      </c>
      <c r="E13" s="1"/>
    </row>
    <row r="14" spans="1:5" ht="15" customHeight="1" x14ac:dyDescent="0.25">
      <c r="A14" s="1"/>
      <c r="B14" s="29" t="s">
        <v>26</v>
      </c>
      <c r="C14" s="9">
        <f>-'Fane 4.1. Gen. krav - drift'!G55</f>
        <v>-1138484.2533566512</v>
      </c>
      <c r="D14" s="8" t="s">
        <v>3</v>
      </c>
      <c r="E14" s="1"/>
    </row>
    <row r="15" spans="1:5" ht="15" customHeight="1" x14ac:dyDescent="0.25">
      <c r="A15" s="1"/>
      <c r="B15" s="29" t="s">
        <v>27</v>
      </c>
      <c r="C15" s="9">
        <f>-'Fane 4.2. Gen. krav - anlæg'!G55</f>
        <v>-1302726.4348414973</v>
      </c>
      <c r="D15" s="8" t="s">
        <v>3</v>
      </c>
      <c r="E15" s="1"/>
    </row>
    <row r="16" spans="1:5" x14ac:dyDescent="0.25">
      <c r="A16" s="1"/>
      <c r="B16" s="30" t="s">
        <v>22</v>
      </c>
      <c r="C16" s="10">
        <f>SUM(C9:C15)</f>
        <v>128226950.40981367</v>
      </c>
      <c r="D16" s="11" t="s">
        <v>3</v>
      </c>
      <c r="E16" s="1"/>
    </row>
    <row r="17" spans="1:5" x14ac:dyDescent="0.25">
      <c r="A17" s="1"/>
      <c r="B17" s="37" t="s">
        <v>13</v>
      </c>
      <c r="C17" s="31"/>
      <c r="D17" s="20"/>
      <c r="E17" s="1"/>
    </row>
    <row r="18" spans="1:5" ht="15" customHeight="1" x14ac:dyDescent="0.25">
      <c r="A18" s="1"/>
      <c r="B18" s="35" t="s">
        <v>13</v>
      </c>
      <c r="C18" s="10">
        <f>'Fane 6. Ikke-påvirkelige omk.'!C15*(1+'Fane 14. Nøgletal'!C14)^2+'Fane 6. Ikke-påvirkelige omk.'!C21+'Fane 6. Ikke-påvirkelige omk.'!C29</f>
        <v>2395104.2609586902</v>
      </c>
      <c r="D18" s="11" t="s">
        <v>3</v>
      </c>
      <c r="E18" s="1"/>
    </row>
    <row r="19" spans="1:5" ht="15" customHeight="1" x14ac:dyDescent="0.25">
      <c r="A19" s="1"/>
      <c r="B19" s="37" t="s">
        <v>94</v>
      </c>
      <c r="C19" s="31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7" t="s">
        <v>93</v>
      </c>
      <c r="C21" s="31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Engangstillæg'!C32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Engangstillæg'!E32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4" t="s">
        <v>258</v>
      </c>
      <c r="C25" s="31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7" t="s">
        <v>153</v>
      </c>
      <c r="C27" s="12">
        <f>SUM(C16,C18,C20,C24,C26)</f>
        <v>130622054.67077236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2pAM5IQApzX2367C9RiryRkRuontNQTK1jgxyPxWvk8siueYAGVyAcOkJtp2DZ+uq9rLhyOWKLKFW3ydbpfVtg==" saltValue="zgA9s0rnz8W9gG0amLWri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1"/>
      <c r="D8" s="20"/>
      <c r="E8" s="1"/>
    </row>
    <row r="9" spans="1:5" ht="15" customHeight="1" x14ac:dyDescent="0.25">
      <c r="A9" s="1"/>
      <c r="B9" s="32" t="s">
        <v>199</v>
      </c>
      <c r="C9" s="7">
        <f>'Fane 2.3. Økonomisk ramme 2024'!C16</f>
        <v>128226950.40981367</v>
      </c>
      <c r="D9" s="8" t="s">
        <v>3</v>
      </c>
      <c r="E9" s="1"/>
    </row>
    <row r="10" spans="1:5" ht="15" customHeight="1" x14ac:dyDescent="0.25">
      <c r="A10" s="1"/>
      <c r="B10" s="32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2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29" t="s">
        <v>20</v>
      </c>
      <c r="C12" s="9">
        <f>SUM(C9:C11)*'Fane 14. Nøgletal'!C14</f>
        <v>423148.93635238509</v>
      </c>
      <c r="D12" s="8" t="s">
        <v>3</v>
      </c>
      <c r="E12" s="1"/>
    </row>
    <row r="13" spans="1:5" ht="15" customHeight="1" x14ac:dyDescent="0.25">
      <c r="A13" s="1"/>
      <c r="B13" s="29" t="s">
        <v>10</v>
      </c>
      <c r="C13" s="9">
        <f>-SUM(C9:C12)*'Fane 5. Individuelt eff. krav'!G12</f>
        <v>-1578766.9289315969</v>
      </c>
      <c r="D13" s="8" t="s">
        <v>3</v>
      </c>
      <c r="E13" s="1"/>
    </row>
    <row r="14" spans="1:5" ht="15" customHeight="1" x14ac:dyDescent="0.25">
      <c r="A14" s="1"/>
      <c r="B14" s="29" t="s">
        <v>26</v>
      </c>
      <c r="C14" s="9">
        <f>-'Fane 4.1. Gen. krav - drift'!G61</f>
        <v>-1119396.4263648735</v>
      </c>
      <c r="D14" s="8" t="s">
        <v>3</v>
      </c>
      <c r="E14" s="1"/>
    </row>
    <row r="15" spans="1:5" ht="15" customHeight="1" x14ac:dyDescent="0.25">
      <c r="A15" s="1"/>
      <c r="B15" s="29" t="s">
        <v>27</v>
      </c>
      <c r="C15" s="9">
        <f>-'Fane 4.2. Gen. krav - anlæg'!G61</f>
        <v>-1287681.4556817426</v>
      </c>
      <c r="D15" s="8" t="s">
        <v>3</v>
      </c>
      <c r="E15" s="1"/>
    </row>
    <row r="16" spans="1:5" x14ac:dyDescent="0.25">
      <c r="A16" s="1"/>
      <c r="B16" s="30" t="s">
        <v>22</v>
      </c>
      <c r="C16" s="10">
        <f>SUM(C9:C15)</f>
        <v>124664254.53518786</v>
      </c>
      <c r="D16" s="11" t="s">
        <v>3</v>
      </c>
      <c r="E16" s="1"/>
    </row>
    <row r="17" spans="1:5" x14ac:dyDescent="0.25">
      <c r="A17" s="1"/>
      <c r="B17" s="37" t="s">
        <v>13</v>
      </c>
      <c r="C17" s="31"/>
      <c r="D17" s="20"/>
      <c r="E17" s="1"/>
    </row>
    <row r="18" spans="1:5" ht="15" customHeight="1" x14ac:dyDescent="0.25">
      <c r="A18" s="1"/>
      <c r="B18" s="35" t="s">
        <v>13</v>
      </c>
      <c r="C18" s="10">
        <f>'Fane 6. Ikke-påvirkelige omk.'!C15*(1+'Fane 14. Nøgletal'!C14)^3+'Fane 6. Ikke-påvirkelige omk.'!C22+'Fane 6. Ikke-påvirkelige omk.'!C30</f>
        <v>2403008.1050198539</v>
      </c>
      <c r="D18" s="11" t="s">
        <v>3</v>
      </c>
      <c r="E18" s="1"/>
    </row>
    <row r="19" spans="1:5" ht="15" customHeight="1" x14ac:dyDescent="0.25">
      <c r="A19" s="1"/>
      <c r="B19" s="37" t="s">
        <v>94</v>
      </c>
      <c r="C19" s="31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7" t="s">
        <v>93</v>
      </c>
      <c r="C21" s="31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Engangstillæg'!C40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Engangstillæg'!E40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4" t="s">
        <v>258</v>
      </c>
      <c r="C25" s="31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7" t="s">
        <v>200</v>
      </c>
      <c r="C27" s="12">
        <f>SUM(C16,C18,C20,C24,C26)</f>
        <v>127067262.64020771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BigmqKswnEJxlVAQEYHckslzrxW735Tl9A5OzjefHm/4S6Lh8rjz6wjO/TtznXy1gxlQtcO5FmgwED315SzbOw==" saltValue="+3LwUdUi8kvp2uqaNNmC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250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278</v>
      </c>
      <c r="C8" s="31"/>
      <c r="D8" s="31"/>
      <c r="E8" s="31"/>
      <c r="F8" s="20"/>
      <c r="G8" s="1"/>
    </row>
    <row r="9" spans="1:7" ht="15" customHeight="1" x14ac:dyDescent="0.25">
      <c r="A9" s="1"/>
      <c r="B9" s="88" t="s">
        <v>25</v>
      </c>
      <c r="C9" s="89"/>
      <c r="D9" s="90"/>
      <c r="E9" s="7">
        <v>136623375.75580868</v>
      </c>
      <c r="F9" s="8" t="s">
        <v>3</v>
      </c>
      <c r="G9" s="1"/>
    </row>
    <row r="10" spans="1:7" ht="15" customHeight="1" x14ac:dyDescent="0.25">
      <c r="A10" s="1"/>
      <c r="B10" s="92" t="s">
        <v>43</v>
      </c>
      <c r="C10" s="93"/>
      <c r="D10" s="94"/>
      <c r="E10" s="7">
        <v>1588505.1798</v>
      </c>
      <c r="F10" s="8" t="s">
        <v>3</v>
      </c>
      <c r="G10" s="1"/>
    </row>
    <row r="11" spans="1:7" ht="15" customHeight="1" x14ac:dyDescent="0.25">
      <c r="A11" s="1"/>
      <c r="B11" s="92" t="s">
        <v>44</v>
      </c>
      <c r="C11" s="93"/>
      <c r="D11" s="94"/>
      <c r="E11" s="9">
        <v>1695565.5737999999</v>
      </c>
      <c r="F11" s="8" t="s">
        <v>3</v>
      </c>
      <c r="G11" s="1"/>
    </row>
    <row r="12" spans="1:7" ht="15" customHeight="1" x14ac:dyDescent="0.25">
      <c r="A12" s="1"/>
      <c r="B12" s="92" t="s">
        <v>29</v>
      </c>
      <c r="C12" s="93"/>
      <c r="D12" s="94"/>
      <c r="E12" s="9">
        <v>0</v>
      </c>
      <c r="F12" s="8" t="s">
        <v>3</v>
      </c>
      <c r="G12" s="1"/>
    </row>
    <row r="13" spans="1:7" ht="15" customHeight="1" x14ac:dyDescent="0.25">
      <c r="A13" s="1"/>
      <c r="B13" s="88" t="s">
        <v>28</v>
      </c>
      <c r="C13" s="89"/>
      <c r="D13" s="90"/>
      <c r="E13" s="9">
        <v>0</v>
      </c>
      <c r="F13" s="8" t="s">
        <v>3</v>
      </c>
      <c r="G13" s="1"/>
    </row>
    <row r="14" spans="1:7" ht="15" customHeight="1" x14ac:dyDescent="0.25">
      <c r="A14" s="1"/>
      <c r="B14" s="88" t="s">
        <v>31</v>
      </c>
      <c r="C14" s="89"/>
      <c r="D14" s="90"/>
      <c r="E14" s="9">
        <v>0</v>
      </c>
      <c r="F14" s="8" t="s">
        <v>3</v>
      </c>
      <c r="G14" s="1"/>
    </row>
    <row r="15" spans="1:7" ht="15" customHeight="1" x14ac:dyDescent="0.25">
      <c r="A15" s="1"/>
      <c r="B15" s="88" t="s">
        <v>30</v>
      </c>
      <c r="C15" s="89"/>
      <c r="D15" s="90"/>
      <c r="E15" s="9">
        <v>0</v>
      </c>
      <c r="F15" s="8" t="s">
        <v>3</v>
      </c>
      <c r="G15" s="1"/>
    </row>
    <row r="16" spans="1:7" ht="15" customHeight="1" x14ac:dyDescent="0.25">
      <c r="A16" s="1"/>
      <c r="B16" s="88" t="s">
        <v>20</v>
      </c>
      <c r="C16" s="89"/>
      <c r="D16" s="90"/>
      <c r="E16" s="9">
        <v>2731546.1655833512</v>
      </c>
      <c r="F16" s="8" t="s">
        <v>3</v>
      </c>
      <c r="G16" s="1"/>
    </row>
    <row r="17" spans="1:7" ht="15" customHeight="1" x14ac:dyDescent="0.25">
      <c r="A17" s="1"/>
      <c r="B17" s="88" t="s">
        <v>10</v>
      </c>
      <c r="C17" s="89"/>
      <c r="D17" s="90"/>
      <c r="E17" s="9">
        <v>-1073586.2259986773</v>
      </c>
      <c r="F17" s="8" t="s">
        <v>3</v>
      </c>
      <c r="G17" s="1"/>
    </row>
    <row r="18" spans="1:7" ht="15" customHeight="1" x14ac:dyDescent="0.25">
      <c r="A18" s="1"/>
      <c r="B18" s="88" t="s">
        <v>26</v>
      </c>
      <c r="C18" s="89"/>
      <c r="D18" s="90"/>
      <c r="E18" s="9">
        <f>-'Fane 4.1. Gen. krav - drift'!G34</f>
        <v>-1190084.7055254744</v>
      </c>
      <c r="F18" s="8" t="s">
        <v>3</v>
      </c>
      <c r="G18" s="1"/>
    </row>
    <row r="19" spans="1:7" ht="15" customHeight="1" x14ac:dyDescent="0.25">
      <c r="A19" s="1"/>
      <c r="B19" s="88" t="s">
        <v>27</v>
      </c>
      <c r="C19" s="89"/>
      <c r="D19" s="90"/>
      <c r="E19" s="9">
        <f>-'Fane 4.2. Gen. krav - anlæg'!G31</f>
        <v>-2589206.5893204245</v>
      </c>
      <c r="F19" s="8" t="s">
        <v>3</v>
      </c>
      <c r="G19" s="1"/>
    </row>
    <row r="20" spans="1:7" ht="15" customHeight="1" x14ac:dyDescent="0.25">
      <c r="A20" s="1"/>
      <c r="B20" s="57" t="s">
        <v>22</v>
      </c>
      <c r="C20" s="58"/>
      <c r="D20" s="65"/>
      <c r="E20" s="10">
        <f>SUM(E9:E19)</f>
        <v>137786115.15414745</v>
      </c>
      <c r="F20" s="11" t="s">
        <v>3</v>
      </c>
      <c r="G20" s="1"/>
    </row>
    <row r="21" spans="1:7" ht="15" customHeight="1" x14ac:dyDescent="0.25">
      <c r="A21" s="1"/>
      <c r="B21" s="37" t="s">
        <v>13</v>
      </c>
      <c r="C21" s="31"/>
      <c r="D21" s="31"/>
      <c r="E21" s="31"/>
      <c r="F21" s="20"/>
      <c r="G21" s="1"/>
    </row>
    <row r="22" spans="1:7" ht="15" customHeight="1" x14ac:dyDescent="0.25">
      <c r="A22" s="1"/>
      <c r="B22" s="95" t="s">
        <v>13</v>
      </c>
      <c r="C22" s="96"/>
      <c r="D22" s="97"/>
      <c r="E22" s="10">
        <v>2521576.5739567201</v>
      </c>
      <c r="F22" s="11" t="s">
        <v>3</v>
      </c>
      <c r="G22" s="1"/>
    </row>
    <row r="23" spans="1:7" ht="15" customHeight="1" x14ac:dyDescent="0.25">
      <c r="A23" s="1"/>
      <c r="B23" s="98" t="s">
        <v>94</v>
      </c>
      <c r="C23" s="99"/>
      <c r="D23" s="100"/>
      <c r="E23" s="31"/>
      <c r="F23" s="31"/>
      <c r="G23" s="1"/>
    </row>
    <row r="24" spans="1:7" ht="15" customHeight="1" x14ac:dyDescent="0.25">
      <c r="A24" s="1"/>
      <c r="B24" s="57" t="s">
        <v>94</v>
      </c>
      <c r="C24" s="42"/>
      <c r="D24" s="43"/>
      <c r="E24" s="10">
        <v>0</v>
      </c>
      <c r="F24" s="11" t="s">
        <v>3</v>
      </c>
      <c r="G24" s="1"/>
    </row>
    <row r="25" spans="1:7" x14ac:dyDescent="0.25">
      <c r="A25" s="1"/>
      <c r="B25" s="37" t="s">
        <v>93</v>
      </c>
      <c r="C25" s="31"/>
      <c r="D25" s="31"/>
      <c r="E25" s="31"/>
      <c r="F25" s="20"/>
      <c r="G25" s="1"/>
    </row>
    <row r="26" spans="1:7" ht="15" customHeight="1" x14ac:dyDescent="0.25">
      <c r="A26" s="1"/>
      <c r="B26" s="92" t="s">
        <v>89</v>
      </c>
      <c r="C26" s="93"/>
      <c r="D26" s="94"/>
      <c r="E26" s="9">
        <v>0</v>
      </c>
      <c r="F26" s="8" t="s">
        <v>3</v>
      </c>
      <c r="G26" s="1"/>
    </row>
    <row r="27" spans="1:7" ht="15" customHeight="1" x14ac:dyDescent="0.25">
      <c r="A27" s="1"/>
      <c r="B27" s="92" t="s">
        <v>90</v>
      </c>
      <c r="C27" s="93"/>
      <c r="D27" s="93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4">
        <v>0</v>
      </c>
      <c r="F28" s="11" t="s">
        <v>3</v>
      </c>
      <c r="G28" s="1"/>
    </row>
    <row r="29" spans="1:7" ht="15" customHeight="1" x14ac:dyDescent="0.25">
      <c r="A29" s="1"/>
      <c r="B29" s="37" t="s">
        <v>187</v>
      </c>
      <c r="C29" s="37"/>
      <c r="D29" s="37"/>
      <c r="E29" s="31"/>
      <c r="F29" s="31"/>
      <c r="G29" s="1"/>
    </row>
    <row r="30" spans="1:7" ht="15" customHeight="1" x14ac:dyDescent="0.25">
      <c r="A30" s="1"/>
      <c r="B30" s="95" t="s">
        <v>185</v>
      </c>
      <c r="C30" s="96"/>
      <c r="D30" s="96"/>
      <c r="E30" s="44">
        <v>-2498578.2750955522</v>
      </c>
      <c r="F30" s="11" t="s">
        <v>3</v>
      </c>
      <c r="G30" s="1"/>
    </row>
    <row r="31" spans="1:7" x14ac:dyDescent="0.25">
      <c r="A31" s="1"/>
      <c r="B31" s="37" t="s">
        <v>148</v>
      </c>
      <c r="C31" s="31"/>
      <c r="D31" s="31"/>
      <c r="E31" s="31"/>
      <c r="F31" s="31"/>
      <c r="G31" s="1"/>
    </row>
    <row r="32" spans="1:7" ht="15.4" customHeight="1" x14ac:dyDescent="0.25">
      <c r="A32" s="1"/>
      <c r="B32" s="95" t="s">
        <v>148</v>
      </c>
      <c r="C32" s="96"/>
      <c r="D32" s="97"/>
      <c r="E32" s="10">
        <v>0</v>
      </c>
      <c r="F32" s="11" t="s">
        <v>3</v>
      </c>
      <c r="G32" s="1"/>
    </row>
    <row r="33" spans="1:7" x14ac:dyDescent="0.25">
      <c r="A33" s="1"/>
      <c r="B33" s="37" t="s">
        <v>251</v>
      </c>
      <c r="C33" s="31"/>
      <c r="D33" s="20"/>
      <c r="E33" s="12">
        <f>SUM(E32,E30,E28,E24,E22,E20)</f>
        <v>137809113.45300862</v>
      </c>
      <c r="F33" s="13" t="s">
        <v>3</v>
      </c>
      <c r="G33" s="1"/>
    </row>
    <row r="34" spans="1:7" ht="27" customHeight="1" x14ac:dyDescent="0.25">
      <c r="A34" s="1"/>
      <c r="B34" s="88" t="s">
        <v>252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9UJQXUs8UHiQeVaRCMOvTNWHxW+kZKy9httIdi0eFPtngyMlbYt4ykzZIIV2xXQm4d6pjlANx2C9Mgr/+ae3g==" saltValue="dpHRHWsQ6g1+66kDD1A8C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1"/>
      <c r="C1" s="41"/>
      <c r="D1" s="41"/>
      <c r="E1" s="41"/>
      <c r="F1" s="41"/>
      <c r="G1" s="41"/>
      <c r="H1" s="41"/>
      <c r="I1" s="1"/>
    </row>
    <row r="2" spans="1:9" ht="15" customHeight="1" x14ac:dyDescent="0.25">
      <c r="A2" s="1"/>
      <c r="B2" s="91" t="s">
        <v>130</v>
      </c>
      <c r="C2" s="91"/>
      <c r="D2" s="91"/>
      <c r="E2" s="91"/>
      <c r="F2" s="91"/>
      <c r="G2" s="91"/>
      <c r="H2" s="91"/>
      <c r="I2" s="1"/>
    </row>
    <row r="3" spans="1:9" ht="28.5" customHeight="1" x14ac:dyDescent="0.25">
      <c r="A3" s="1"/>
      <c r="B3" s="91"/>
      <c r="C3" s="91"/>
      <c r="D3" s="91"/>
      <c r="E3" s="91"/>
      <c r="F3" s="91"/>
      <c r="G3" s="91"/>
      <c r="H3" s="91"/>
      <c r="I3" s="1"/>
    </row>
    <row r="4" spans="1:9" ht="14.25" customHeight="1" x14ac:dyDescent="0.25">
      <c r="A4" s="1"/>
      <c r="B4" s="41"/>
      <c r="C4" s="41"/>
      <c r="D4" s="41"/>
      <c r="E4" s="41"/>
      <c r="F4" s="41"/>
      <c r="G4" s="41"/>
      <c r="H4" s="41"/>
      <c r="I4" s="1"/>
    </row>
    <row r="5" spans="1:9" x14ac:dyDescent="0.25">
      <c r="A5" s="1"/>
      <c r="B5" s="98" t="s">
        <v>56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3" t="s">
        <v>45</v>
      </c>
      <c r="C6" s="104"/>
      <c r="D6" s="104"/>
      <c r="E6" s="104"/>
      <c r="F6" s="105"/>
      <c r="G6" s="67">
        <v>61072060.764449328</v>
      </c>
      <c r="H6" s="14" t="s">
        <v>3</v>
      </c>
      <c r="I6" s="1"/>
    </row>
    <row r="7" spans="1:9" x14ac:dyDescent="0.25">
      <c r="A7" s="1"/>
      <c r="B7" s="88" t="s">
        <v>145</v>
      </c>
      <c r="C7" s="89"/>
      <c r="D7" s="89"/>
      <c r="E7" s="89"/>
      <c r="F7" s="90"/>
      <c r="G7" s="9">
        <v>0</v>
      </c>
      <c r="H7" s="14" t="s">
        <v>3</v>
      </c>
      <c r="I7" s="1"/>
    </row>
    <row r="8" spans="1:9" x14ac:dyDescent="0.25">
      <c r="A8" s="1"/>
      <c r="B8" s="103" t="s">
        <v>46</v>
      </c>
      <c r="C8" s="104"/>
      <c r="D8" s="104"/>
      <c r="E8" s="104"/>
      <c r="F8" s="105"/>
      <c r="G8" s="67">
        <f>SUM(G6:G7)*'Fane 14. Nøgletal'!C29</f>
        <v>1221441.2152889867</v>
      </c>
      <c r="H8" s="14" t="s">
        <v>3</v>
      </c>
      <c r="I8" s="1"/>
    </row>
    <row r="9" spans="1:9" x14ac:dyDescent="0.25">
      <c r="A9" s="1"/>
      <c r="B9" s="37"/>
      <c r="C9" s="31"/>
      <c r="D9" s="31"/>
      <c r="E9" s="31"/>
      <c r="F9" s="31"/>
      <c r="G9" s="31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8" t="s">
        <v>57</v>
      </c>
      <c r="C11" s="99"/>
      <c r="D11" s="99"/>
      <c r="E11" s="99"/>
      <c r="F11" s="99"/>
      <c r="G11" s="99"/>
      <c r="H11" s="100"/>
      <c r="I11" s="1"/>
    </row>
    <row r="12" spans="1:9" x14ac:dyDescent="0.25">
      <c r="A12" s="1"/>
      <c r="B12" s="103" t="s">
        <v>47</v>
      </c>
      <c r="C12" s="104"/>
      <c r="D12" s="104"/>
      <c r="E12" s="104"/>
      <c r="F12" s="105"/>
      <c r="G12" s="67">
        <f>(G6-G8)*(1+'Fane 14. Nøgletal'!C10)</f>
        <v>60898005.391270652</v>
      </c>
      <c r="H12" s="14" t="s">
        <v>3</v>
      </c>
      <c r="I12" s="1"/>
    </row>
    <row r="13" spans="1:9" ht="15" customHeight="1" x14ac:dyDescent="0.25">
      <c r="A13" s="1"/>
      <c r="B13" s="103" t="s">
        <v>146</v>
      </c>
      <c r="C13" s="104"/>
      <c r="D13" s="104"/>
      <c r="E13" s="104"/>
      <c r="F13" s="105"/>
      <c r="G13" s="67">
        <v>-5594461.2177025033</v>
      </c>
      <c r="H13" s="14" t="s">
        <v>3</v>
      </c>
      <c r="I13" s="1"/>
    </row>
    <row r="14" spans="1:9" x14ac:dyDescent="0.25">
      <c r="A14" s="1"/>
      <c r="B14" s="88" t="s">
        <v>143</v>
      </c>
      <c r="C14" s="89"/>
      <c r="D14" s="89"/>
      <c r="E14" s="89"/>
      <c r="F14" s="90"/>
      <c r="G14" s="9">
        <v>0</v>
      </c>
      <c r="H14" s="14" t="s">
        <v>3</v>
      </c>
      <c r="I14" s="1"/>
    </row>
    <row r="15" spans="1:9" x14ac:dyDescent="0.25">
      <c r="A15" s="1"/>
      <c r="B15" s="109" t="s">
        <v>48</v>
      </c>
      <c r="C15" s="110"/>
      <c r="D15" s="110"/>
      <c r="E15" s="110"/>
      <c r="F15" s="111"/>
      <c r="G15" s="9">
        <v>0</v>
      </c>
      <c r="H15" s="14" t="s">
        <v>3</v>
      </c>
      <c r="I15" s="1"/>
    </row>
    <row r="16" spans="1:9" x14ac:dyDescent="0.25">
      <c r="A16" s="1"/>
      <c r="B16" s="103" t="s">
        <v>49</v>
      </c>
      <c r="C16" s="104"/>
      <c r="D16" s="104"/>
      <c r="E16" s="104"/>
      <c r="F16" s="105"/>
      <c r="G16" s="67">
        <f>SUM(G12:G15)*'Fane 14. Nøgletal'!C29</f>
        <v>1106070.883471363</v>
      </c>
      <c r="H16" s="14" t="s">
        <v>3</v>
      </c>
      <c r="I16" s="1"/>
    </row>
    <row r="17" spans="1:9" x14ac:dyDescent="0.25">
      <c r="A17" s="1"/>
      <c r="B17" s="37"/>
      <c r="C17" s="31"/>
      <c r="D17" s="31"/>
      <c r="E17" s="31"/>
      <c r="F17" s="31"/>
      <c r="G17" s="31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8" t="s">
        <v>58</v>
      </c>
      <c r="C19" s="99"/>
      <c r="D19" s="99"/>
      <c r="E19" s="99"/>
      <c r="F19" s="99"/>
      <c r="G19" s="99"/>
      <c r="H19" s="100"/>
      <c r="I19" s="1"/>
    </row>
    <row r="20" spans="1:9" x14ac:dyDescent="0.25">
      <c r="A20" s="1"/>
      <c r="B20" s="103" t="s">
        <v>50</v>
      </c>
      <c r="C20" s="104"/>
      <c r="D20" s="104"/>
      <c r="E20" s="104"/>
      <c r="F20" s="105"/>
      <c r="G20" s="67">
        <f>(SUM(G12:G13,G15)-(G16))*(1+'Fane 14. Nøgletal'!C10)</f>
        <v>55145929.072673485</v>
      </c>
      <c r="H20" s="14" t="s">
        <v>3</v>
      </c>
      <c r="I20" s="1"/>
    </row>
    <row r="21" spans="1:9" x14ac:dyDescent="0.25">
      <c r="A21" s="1"/>
      <c r="B21" s="109" t="s">
        <v>51</v>
      </c>
      <c r="C21" s="110"/>
      <c r="D21" s="110"/>
      <c r="E21" s="110"/>
      <c r="F21" s="111"/>
      <c r="G21" s="9">
        <v>0</v>
      </c>
      <c r="H21" s="14" t="s">
        <v>3</v>
      </c>
      <c r="I21" s="1"/>
    </row>
    <row r="22" spans="1:9" x14ac:dyDescent="0.25">
      <c r="A22" s="1"/>
      <c r="B22" s="103" t="s">
        <v>52</v>
      </c>
      <c r="C22" s="104"/>
      <c r="D22" s="104"/>
      <c r="E22" s="104"/>
      <c r="F22" s="105"/>
      <c r="G22" s="67">
        <f>SUM(G20:G21)*'Fane 14. Nøgletal'!C29</f>
        <v>1102918.5814534698</v>
      </c>
      <c r="H22" s="14" t="s">
        <v>3</v>
      </c>
      <c r="I22" s="1"/>
    </row>
    <row r="23" spans="1:9" x14ac:dyDescent="0.25">
      <c r="A23" s="1"/>
      <c r="B23" s="37"/>
      <c r="C23" s="31"/>
      <c r="D23" s="31"/>
      <c r="E23" s="31"/>
      <c r="F23" s="31"/>
      <c r="G23" s="31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8" t="s">
        <v>59</v>
      </c>
      <c r="C25" s="99"/>
      <c r="D25" s="99"/>
      <c r="E25" s="99"/>
      <c r="F25" s="99"/>
      <c r="G25" s="99"/>
      <c r="H25" s="100"/>
      <c r="I25" s="1"/>
    </row>
    <row r="26" spans="1:9" x14ac:dyDescent="0.25">
      <c r="A26" s="1"/>
      <c r="B26" s="103" t="s">
        <v>53</v>
      </c>
      <c r="C26" s="104"/>
      <c r="D26" s="104"/>
      <c r="E26" s="104"/>
      <c r="F26" s="105"/>
      <c r="G26" s="67">
        <f>(G20+G21-G22)*(1+'Fane 14. Nøgletal'!C12)</f>
        <v>55107657.797897048</v>
      </c>
      <c r="H26" s="14" t="s">
        <v>3</v>
      </c>
      <c r="I26" s="1"/>
    </row>
    <row r="27" spans="1:9" x14ac:dyDescent="0.25">
      <c r="A27" s="1"/>
      <c r="B27" s="109" t="s">
        <v>54</v>
      </c>
      <c r="C27" s="110"/>
      <c r="D27" s="110"/>
      <c r="E27" s="110"/>
      <c r="F27" s="111"/>
      <c r="G27" s="67">
        <v>2828900.5068465904</v>
      </c>
      <c r="H27" s="14" t="s">
        <v>3</v>
      </c>
      <c r="I27" s="1"/>
    </row>
    <row r="28" spans="1:9" x14ac:dyDescent="0.25">
      <c r="A28" s="1"/>
      <c r="B28" s="103" t="s">
        <v>55</v>
      </c>
      <c r="C28" s="104"/>
      <c r="D28" s="104"/>
      <c r="E28" s="104"/>
      <c r="F28" s="105"/>
      <c r="G28" s="67">
        <f>(G26+G27)*'Fane 14. Nøgletal'!C29</f>
        <v>1158731.1660948729</v>
      </c>
      <c r="H28" s="14" t="s">
        <v>3</v>
      </c>
      <c r="I28" s="1"/>
    </row>
    <row r="29" spans="1:9" x14ac:dyDescent="0.25">
      <c r="A29" s="1"/>
      <c r="B29" s="37"/>
      <c r="C29" s="31"/>
      <c r="D29" s="31"/>
      <c r="E29" s="31"/>
      <c r="F29" s="31"/>
      <c r="G29" s="31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8" t="s">
        <v>62</v>
      </c>
      <c r="C31" s="99"/>
      <c r="D31" s="99"/>
      <c r="E31" s="99"/>
      <c r="F31" s="99"/>
      <c r="G31" s="99"/>
      <c r="H31" s="100"/>
      <c r="I31" s="1"/>
    </row>
    <row r="32" spans="1:9" x14ac:dyDescent="0.25">
      <c r="A32" s="1"/>
      <c r="B32" s="103" t="s">
        <v>63</v>
      </c>
      <c r="C32" s="104"/>
      <c r="D32" s="104"/>
      <c r="E32" s="104"/>
      <c r="F32" s="105"/>
      <c r="G32" s="67">
        <f>(G26+G27-G28)*(1+'Fane 14. Nøgletal'!C12)</f>
        <v>57896350.333280154</v>
      </c>
      <c r="H32" s="14" t="s">
        <v>3</v>
      </c>
      <c r="I32" s="1"/>
    </row>
    <row r="33" spans="1:9" x14ac:dyDescent="0.25">
      <c r="A33" s="1"/>
      <c r="B33" s="103" t="s">
        <v>171</v>
      </c>
      <c r="C33" s="104"/>
      <c r="D33" s="104"/>
      <c r="E33" s="104"/>
      <c r="F33" s="105"/>
      <c r="G33" s="67">
        <v>1607884.9429935601</v>
      </c>
      <c r="H33" s="14" t="s">
        <v>3</v>
      </c>
      <c r="I33" s="1"/>
    </row>
    <row r="34" spans="1:9" x14ac:dyDescent="0.25">
      <c r="A34" s="1"/>
      <c r="B34" s="103" t="s">
        <v>64</v>
      </c>
      <c r="C34" s="104"/>
      <c r="D34" s="104"/>
      <c r="E34" s="104"/>
      <c r="F34" s="105"/>
      <c r="G34" s="67">
        <f>(G32+G33)*'Fane 14. Nøgletal'!C29</f>
        <v>1190084.7055254744</v>
      </c>
      <c r="H34" s="14" t="s">
        <v>3</v>
      </c>
      <c r="I34" s="1"/>
    </row>
    <row r="35" spans="1:9" x14ac:dyDescent="0.25">
      <c r="A35" s="1"/>
      <c r="B35" s="37"/>
      <c r="C35" s="31"/>
      <c r="D35" s="31"/>
      <c r="E35" s="31"/>
      <c r="F35" s="31"/>
      <c r="G35" s="31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8" t="s">
        <v>232</v>
      </c>
      <c r="C37" s="99"/>
      <c r="D37" s="99"/>
      <c r="E37" s="99"/>
      <c r="F37" s="99"/>
      <c r="G37" s="99"/>
      <c r="H37" s="100"/>
      <c r="I37" s="1"/>
    </row>
    <row r="38" spans="1:9" x14ac:dyDescent="0.25">
      <c r="A38" s="1"/>
      <c r="B38" s="103" t="s">
        <v>84</v>
      </c>
      <c r="C38" s="104"/>
      <c r="D38" s="104"/>
      <c r="E38" s="104"/>
      <c r="F38" s="105"/>
      <c r="G38" s="67">
        <f>(G32+G33-G34)*(1+'Fane 14. Nøgletal'!C14)</f>
        <v>58506587.267631717</v>
      </c>
      <c r="H38" s="14" t="s">
        <v>3</v>
      </c>
      <c r="I38" s="1"/>
    </row>
    <row r="39" spans="1:9" x14ac:dyDescent="0.25">
      <c r="A39" s="1"/>
      <c r="B39" s="103" t="s">
        <v>236</v>
      </c>
      <c r="C39" s="104"/>
      <c r="D39" s="104"/>
      <c r="E39" s="104"/>
      <c r="F39" s="105"/>
      <c r="G39" s="67">
        <f>SUM('Fane 2.1. Økonomisk ramme 2022'!C10,'Fane 2.1. Økonomisk ramme 2022'!C12,'Fane 2.1. Økonomisk ramme 2022'!C14)*(1+'Fane 14. Nøgletal'!C14)</f>
        <v>375508.13962738006</v>
      </c>
      <c r="H39" s="14" t="s">
        <v>3</v>
      </c>
      <c r="I39" s="1"/>
    </row>
    <row r="40" spans="1:9" x14ac:dyDescent="0.25">
      <c r="A40" s="1"/>
      <c r="B40" s="103" t="s">
        <v>234</v>
      </c>
      <c r="C40" s="104"/>
      <c r="D40" s="104"/>
      <c r="E40" s="104"/>
      <c r="F40" s="105"/>
      <c r="G40" s="67">
        <f>(G38+G39)*'Fane 14. Nøgletal'!C29</f>
        <v>1177641.9081451821</v>
      </c>
      <c r="H40" s="14" t="s">
        <v>3</v>
      </c>
      <c r="I40" s="1"/>
    </row>
    <row r="41" spans="1:9" x14ac:dyDescent="0.25">
      <c r="A41" s="1"/>
      <c r="B41" s="37"/>
      <c r="C41" s="31"/>
      <c r="D41" s="31"/>
      <c r="E41" s="31"/>
      <c r="F41" s="31"/>
      <c r="G41" s="31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8" t="s">
        <v>233</v>
      </c>
      <c r="C43" s="99"/>
      <c r="D43" s="99"/>
      <c r="E43" s="99"/>
      <c r="F43" s="99"/>
      <c r="G43" s="99"/>
      <c r="H43" s="100"/>
      <c r="I43" s="1"/>
    </row>
    <row r="44" spans="1:9" x14ac:dyDescent="0.25">
      <c r="A44" s="1"/>
      <c r="B44" s="103" t="s">
        <v>83</v>
      </c>
      <c r="C44" s="104"/>
      <c r="D44" s="104"/>
      <c r="E44" s="104"/>
      <c r="F44" s="105"/>
      <c r="G44" s="67">
        <f>(G38+G39-G40)*(1+'Fane 14. Nøgletal'!C14)</f>
        <v>57894878.195661001</v>
      </c>
      <c r="H44" s="14" t="s">
        <v>3</v>
      </c>
      <c r="I44" s="1"/>
    </row>
    <row r="45" spans="1:9" x14ac:dyDescent="0.25">
      <c r="A45" s="1"/>
      <c r="B45" s="106" t="s">
        <v>237</v>
      </c>
      <c r="C45" s="107"/>
      <c r="D45" s="107"/>
      <c r="E45" s="107"/>
      <c r="F45" s="108"/>
      <c r="G45" s="67">
        <f>G39*(1+'Fane 14. Nøgletal'!C14)</f>
        <v>376747.31648815045</v>
      </c>
      <c r="H45" s="14" t="s">
        <v>3</v>
      </c>
      <c r="I45" s="1"/>
    </row>
    <row r="46" spans="1:9" x14ac:dyDescent="0.25">
      <c r="A46" s="1"/>
      <c r="B46" s="103" t="s">
        <v>97</v>
      </c>
      <c r="C46" s="104"/>
      <c r="D46" s="104"/>
      <c r="E46" s="104"/>
      <c r="F46" s="105"/>
      <c r="G46" s="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3" t="s">
        <v>235</v>
      </c>
      <c r="C47" s="104"/>
      <c r="D47" s="104"/>
      <c r="E47" s="104"/>
      <c r="F47" s="105"/>
      <c r="G47" s="67">
        <f>(G44+G46)*'Fane 14. Nøgletal'!C29</f>
        <v>1157897.5639132201</v>
      </c>
      <c r="H47" s="14" t="s">
        <v>3</v>
      </c>
      <c r="I47" s="1"/>
    </row>
    <row r="48" spans="1:9" x14ac:dyDescent="0.25">
      <c r="A48" s="1"/>
      <c r="B48" s="37"/>
      <c r="C48" s="31"/>
      <c r="D48" s="31"/>
      <c r="E48" s="31"/>
      <c r="F48" s="31"/>
      <c r="G48" s="31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172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173</v>
      </c>
      <c r="C53" s="104"/>
      <c r="D53" s="104"/>
      <c r="E53" s="104"/>
      <c r="F53" s="105"/>
      <c r="G53" s="67">
        <f>(G44+G46-G47)*(1+'Fane 14. Nøgletal'!C14)</f>
        <v>56924212.667832553</v>
      </c>
      <c r="H53" s="14" t="s">
        <v>3</v>
      </c>
      <c r="I53" s="1"/>
    </row>
    <row r="54" spans="1:9" x14ac:dyDescent="0.25">
      <c r="A54" s="1"/>
      <c r="B54" s="103" t="s">
        <v>174</v>
      </c>
      <c r="C54" s="104"/>
      <c r="D54" s="104"/>
      <c r="E54" s="104"/>
      <c r="F54" s="105"/>
      <c r="G54" s="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3" t="s">
        <v>175</v>
      </c>
      <c r="C55" s="104"/>
      <c r="D55" s="104"/>
      <c r="E55" s="104"/>
      <c r="F55" s="105"/>
      <c r="G55" s="67">
        <f>(G53+G54)*'Fane 14. Nøgletal'!C29</f>
        <v>1138484.2533566512</v>
      </c>
      <c r="H55" s="14" t="s">
        <v>3</v>
      </c>
      <c r="I55" s="1"/>
    </row>
    <row r="56" spans="1:9" x14ac:dyDescent="0.25">
      <c r="A56" s="1"/>
      <c r="B56" s="37"/>
      <c r="C56" s="31"/>
      <c r="D56" s="31"/>
      <c r="E56" s="31"/>
      <c r="F56" s="31"/>
      <c r="G56" s="31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25">
      <c r="A59" s="1"/>
      <c r="B59" s="60" t="s">
        <v>202</v>
      </c>
      <c r="C59" s="61"/>
      <c r="D59" s="61"/>
      <c r="E59" s="61"/>
      <c r="F59" s="62"/>
      <c r="G59" s="67">
        <f>(G53+G54-G55)*(1+'Fane 14. Nøgletal'!C14)</f>
        <v>55969821.318243675</v>
      </c>
      <c r="H59" s="14" t="s">
        <v>3</v>
      </c>
      <c r="I59" s="1"/>
    </row>
    <row r="60" spans="1:9" x14ac:dyDescent="0.25">
      <c r="A60" s="1"/>
      <c r="B60" s="60" t="s">
        <v>203</v>
      </c>
      <c r="C60" s="61"/>
      <c r="D60" s="61"/>
      <c r="E60" s="61"/>
      <c r="F60" s="62"/>
      <c r="G60" s="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0" t="s">
        <v>204</v>
      </c>
      <c r="C61" s="61"/>
      <c r="D61" s="61"/>
      <c r="E61" s="61"/>
      <c r="F61" s="62"/>
      <c r="G61" s="67">
        <f>(G59+G60)*'Fane 14. Nøgletal'!C29</f>
        <v>1119396.4263648735</v>
      </c>
      <c r="H61" s="14" t="s">
        <v>3</v>
      </c>
      <c r="I61" s="1"/>
    </row>
    <row r="62" spans="1:9" x14ac:dyDescent="0.25">
      <c r="A62" s="1"/>
      <c r="B62" s="37"/>
      <c r="C62" s="31"/>
      <c r="D62" s="31"/>
      <c r="E62" s="31"/>
      <c r="F62" s="31"/>
      <c r="G62" s="31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pcfS8bjOnb91bucdR8HYcZWSsEpASERG81izkLHhN1NalH0Z3Y8OQ2HuK/7EOEtQNuK489bJUEE4YSQxzthLTg==" saltValue="FjW0Opdtkxah5E3g81u4rw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8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8" t="s">
        <v>60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67">
        <v>87608087.534453824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67">
        <f>G5*'Fane 14. Nøgletal'!C19</f>
        <v>797233.59656352981</v>
      </c>
      <c r="H6" s="14" t="s">
        <v>3</v>
      </c>
      <c r="I6" s="1"/>
    </row>
    <row r="7" spans="1:9" x14ac:dyDescent="0.25">
      <c r="A7" s="1"/>
      <c r="B7" s="37"/>
      <c r="C7" s="31"/>
      <c r="D7" s="31"/>
      <c r="E7" s="31"/>
      <c r="F7" s="31"/>
      <c r="G7" s="3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66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67">
        <f>(G5-G6)*(1+'Fane 14. Nøgletal'!C10)</f>
        <v>88330043.881803378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67">
        <v>-191255.49914114541</v>
      </c>
      <c r="H11" s="14" t="s">
        <v>3</v>
      </c>
      <c r="I11" s="1"/>
    </row>
    <row r="12" spans="1:9" x14ac:dyDescent="0.25">
      <c r="A12" s="1"/>
      <c r="B12" s="109" t="s">
        <v>68</v>
      </c>
      <c r="C12" s="110"/>
      <c r="D12" s="110"/>
      <c r="E12" s="110"/>
      <c r="F12" s="111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67">
        <f>SUM(G10:G12)*'Fane 14. Nøgletal'!C20</f>
        <v>1560056.5543731216</v>
      </c>
      <c r="H13" s="14" t="s">
        <v>3</v>
      </c>
      <c r="I13" s="1"/>
    </row>
    <row r="14" spans="1:9" x14ac:dyDescent="0.25">
      <c r="A14" s="1"/>
      <c r="B14" s="37"/>
      <c r="C14" s="31"/>
      <c r="D14" s="31"/>
      <c r="E14" s="31"/>
      <c r="F14" s="31"/>
      <c r="G14" s="31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70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67">
        <f>(SUM(G10:G12)-G13)*(1+'Fane 14. Nøgletal'!C10)</f>
        <v>88093859.635284185</v>
      </c>
      <c r="H17" s="14" t="s">
        <v>3</v>
      </c>
      <c r="I17" s="1"/>
    </row>
    <row r="18" spans="1:9" x14ac:dyDescent="0.25">
      <c r="A18" s="1"/>
      <c r="B18" s="109" t="s">
        <v>72</v>
      </c>
      <c r="C18" s="110"/>
      <c r="D18" s="110"/>
      <c r="E18" s="110"/>
      <c r="F18" s="111"/>
      <c r="G18" s="67">
        <v>808680.79916024976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67">
        <f>G17*'Fane 14. Nøgletal'!C20+G18*'Fane 14. Nøgletal'!C21</f>
        <v>1566296.8384972243</v>
      </c>
      <c r="H19" s="14" t="s">
        <v>3</v>
      </c>
      <c r="I19" s="1"/>
    </row>
    <row r="20" spans="1:9" x14ac:dyDescent="0.25">
      <c r="A20" s="1"/>
      <c r="B20" s="37"/>
      <c r="C20" s="31"/>
      <c r="D20" s="31"/>
      <c r="E20" s="31"/>
      <c r="F20" s="31"/>
      <c r="G20" s="3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74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67">
        <f>(G17+G18-G19)*(1+'Fane 14. Nøgletal'!C12)</f>
        <v>89056767.594787389</v>
      </c>
      <c r="H23" s="14" t="s">
        <v>3</v>
      </c>
      <c r="I23" s="1"/>
    </row>
    <row r="24" spans="1:9" x14ac:dyDescent="0.25">
      <c r="A24" s="1"/>
      <c r="B24" s="109" t="s">
        <v>76</v>
      </c>
      <c r="C24" s="110"/>
      <c r="D24" s="110"/>
      <c r="E24" s="110"/>
      <c r="F24" s="111"/>
      <c r="G24" s="67">
        <v>1287153.0111466225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67">
        <f>(G23+G24)*'Fane 14. Nøgletal'!C22</f>
        <v>2565767.3452085261</v>
      </c>
      <c r="H25" s="14" t="s">
        <v>3</v>
      </c>
      <c r="I25" s="1"/>
    </row>
    <row r="26" spans="1:9" x14ac:dyDescent="0.25">
      <c r="A26" s="1"/>
      <c r="B26" s="37"/>
      <c r="C26" s="31"/>
      <c r="D26" s="31"/>
      <c r="E26" s="31"/>
      <c r="F26" s="31"/>
      <c r="G26" s="3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78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67">
        <f>(G23+G24-G25)*(1+'Fane 14. Nøgletal'!C12)</f>
        <v>89507382.879961774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67">
        <v>1716251.4738003598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67">
        <f>G29*'Fane 14. Nøgletal'!C22+G30*'Fane 14. Nøgletal'!C23</f>
        <v>2589206.5893204245</v>
      </c>
      <c r="H31" s="14" t="s">
        <v>3</v>
      </c>
      <c r="I31" s="1"/>
    </row>
    <row r="32" spans="1:9" x14ac:dyDescent="0.25">
      <c r="A32" s="1"/>
      <c r="B32" s="37"/>
      <c r="C32" s="31"/>
      <c r="D32" s="31"/>
      <c r="E32" s="31"/>
      <c r="F32" s="31"/>
      <c r="G32" s="3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238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67">
        <f>(G29+G30-G31)*(1+'Fane 14. Nøgletal'!C14)</f>
        <v>88926921.376064375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67">
        <f>SUM('Fane 2.1. Økonomisk ramme 2022'!C11,'Fane 2.1. Økonomisk ramme 2022'!C13,'Fane 2.1. Økonomisk ramme 2022'!C15)*(1+'Fane 14. Nøgletal'!C14)</f>
        <v>1164010.6084257402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67">
        <f>(G35+G36)*'Fane 14. Nøgletal'!C24</f>
        <v>1333345.7933704536</v>
      </c>
      <c r="H37" s="14" t="s">
        <v>3</v>
      </c>
      <c r="I37" s="1"/>
    </row>
    <row r="38" spans="1:9" x14ac:dyDescent="0.25">
      <c r="A38" s="1"/>
      <c r="B38" s="37"/>
      <c r="C38" s="31"/>
      <c r="D38" s="31"/>
      <c r="E38" s="31"/>
      <c r="F38" s="31"/>
      <c r="G38" s="3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85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67">
        <f>(G35+G36-G37)*(1+'Fane 14. Nøgletal'!C14)</f>
        <v>89050486.225550354</v>
      </c>
      <c r="H41" s="14" t="s">
        <v>3</v>
      </c>
      <c r="I41" s="1"/>
    </row>
    <row r="42" spans="1:9" x14ac:dyDescent="0.25">
      <c r="A42" s="1"/>
      <c r="B42" s="46" t="s">
        <v>242</v>
      </c>
      <c r="C42" s="61"/>
      <c r="D42" s="61"/>
      <c r="E42" s="61"/>
      <c r="F42" s="62"/>
      <c r="G42" s="67">
        <f>G36*(1+'Fane 14. Nøgletal'!C14)</f>
        <v>1167851.8434335452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67">
        <f>(G41+G43)*'Fane 14. Nøgletal'!C24</f>
        <v>1317947.1961381454</v>
      </c>
      <c r="H44" s="14" t="s">
        <v>3</v>
      </c>
      <c r="I44" s="1"/>
    </row>
    <row r="45" spans="1:9" x14ac:dyDescent="0.25">
      <c r="A45" s="1"/>
      <c r="B45" s="37"/>
      <c r="C45" s="31"/>
      <c r="D45" s="31"/>
      <c r="E45" s="31"/>
      <c r="F45" s="31"/>
      <c r="G45" s="3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181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67">
        <f>(G41+G43-G44)*(1+'Fane 14. Nøgletal'!C14)</f>
        <v>88022056.408209279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67">
        <f>(G53+G54)*'Fane 14. Nøgletal'!C24</f>
        <v>1302726.4348414973</v>
      </c>
      <c r="H55" s="14" t="s">
        <v>3</v>
      </c>
      <c r="I55" s="1"/>
    </row>
    <row r="56" spans="1:9" x14ac:dyDescent="0.25">
      <c r="A56" s="1"/>
      <c r="B56" s="37"/>
      <c r="C56" s="31"/>
      <c r="D56" s="31"/>
      <c r="E56" s="31"/>
      <c r="F56" s="31"/>
      <c r="G56" s="31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8" t="s">
        <v>205</v>
      </c>
      <c r="C58" s="99"/>
      <c r="D58" s="99"/>
      <c r="E58" s="99"/>
      <c r="F58" s="99"/>
      <c r="G58" s="99"/>
      <c r="H58" s="100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67">
        <f>(G53+G54-G55)*(1+'Fane 14. Nøgletal'!C14)</f>
        <v>87005503.762279898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67">
        <f>(G59+G60)*'Fane 14. Nøgletal'!C24</f>
        <v>1287681.4556817426</v>
      </c>
      <c r="H61" s="14" t="s">
        <v>3</v>
      </c>
      <c r="I61" s="1"/>
    </row>
    <row r="62" spans="1:9" x14ac:dyDescent="0.25">
      <c r="A62" s="1"/>
      <c r="B62" s="37"/>
      <c r="C62" s="31"/>
      <c r="D62" s="31"/>
      <c r="E62" s="31"/>
      <c r="F62" s="31"/>
      <c r="G62" s="31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puzrdJAG8owWsMe358/wxrj7ecF90oS+sTd7lkM6wWCX0Mdyd8fXgzu/LNpot5XxUqczF6FuOcwfGzM93L8/og==" saltValue="/6HAOL9pIq8lAYeN2FW6DQ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7.4120403073682246E-3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0.02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0">
        <v>7.5265970816611235E-3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0">
        <v>1.2271789426944164E-2</v>
      </c>
      <c r="H12" s="45"/>
      <c r="I12" s="1"/>
    </row>
    <row r="13" spans="1:9" x14ac:dyDescent="0.25">
      <c r="A13" s="1"/>
      <c r="B13" s="37"/>
      <c r="C13" s="31"/>
      <c r="D13" s="31"/>
      <c r="E13" s="31"/>
      <c r="F13" s="31"/>
      <c r="G13" s="31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3MJJjcD6TD7VbldIYRsl340nEW0gI4lgGluQD/jf7Ti+gbhITZm/fVLYCdU4EYNQL6LNbKcEdfFErVuvEiBAQ==" saltValue="baHa4bMqY++3CXsRCXh6B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2021-10-14T14:24:43Z</dcterms:modified>
</cp:coreProperties>
</file>