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dder Vandværk a.m.b.a. (V14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7" i="19" l="1"/>
  <c r="E14" i="37"/>
  <c r="C14" i="37"/>
  <c r="E11" i="11" l="1"/>
  <c r="E31" i="32" l="1"/>
  <c r="E16" i="27" l="1"/>
  <c r="E12" i="11" l="1"/>
  <c r="E13" i="11"/>
  <c r="E10" i="1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9" i="2"/>
  <c r="F14" i="11"/>
  <c r="C10" i="37" s="1"/>
  <c r="G14" i="11"/>
  <c r="C15" i="37" l="1"/>
  <c r="C11" i="2" s="1"/>
  <c r="E11" i="21"/>
  <c r="E12" i="21" s="1"/>
  <c r="C11" i="21"/>
  <c r="C12" i="21" s="1"/>
  <c r="E11" i="29"/>
  <c r="E12" i="29" s="1"/>
  <c r="C11" i="29"/>
  <c r="C12" i="29" s="1"/>
  <c r="C18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4" i="11"/>
  <c r="E10" i="37" s="1"/>
  <c r="G35" i="30" l="1"/>
  <c r="G37" i="30" s="1"/>
  <c r="C19" i="2"/>
  <c r="E15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s="1"/>
  <c r="C21" i="2" s="1"/>
  <c r="C32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<sst xmlns="http://schemas.openxmlformats.org/spreadsheetml/2006/main" count="616" uniqueCount="260">
  <si>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</si>
  <si>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</si>
  <si>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</si>
  <si>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</si>
  <si>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</si>
  <si>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</si>
  <si>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</si>
  <si>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</si>
  <si>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</si>
  <si>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</si>
  <si>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</si>
  <si>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</si>
  <si>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</si>
  <si>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</si>
  <si>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</si>
  <si>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</si>
  <si>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</si>
  <si>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</si>
  <si>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</si>
  <si>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</si>
  <si>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</si>
  <si>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</si>
  <si>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</si>
  <si>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</si>
  <si>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</si>
  <si>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</si>
  <si>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</si>
  <si>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</si>
  <si>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</si>
  <si>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</si>
  <si>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</si>
  <si>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</si>
  <si>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</si>
  <si>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</si>
  <si>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</si>
  <si>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</si>
  <si>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</si>
  <si>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</si>
  <si>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</si>
  <si>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</si>
  <si>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</si>
  <si>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</si>
  <si>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</si>
  <si>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</si>
  <si>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</si>
  <si>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</si>
  <si>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</si>
  <si>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</si>
  <si>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</si>
  <si>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</si>
  <si>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</si>
  <si>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</si>
  <si>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</si>
  <si>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</si>
  <si>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</si>
  <si>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</si>
  <si>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</si>
  <si>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</si>
  <si>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</si>
  <si>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</si>
  <si>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</si>
  <si>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</si>
  <si>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</si>
  <si>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</si>
  <si>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</si>
  <si>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</si>
  <si>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</si>
  <si>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</si>
  <si>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</si>
  <si>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</si>
  <si>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</si>
  <si>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</si>
  <si>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</si>
  <si>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</si>
  <si>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</si>
  <si>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</si>
  <si>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</si>
  <si>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</si>
  <si>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</si>
  <si>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</si>
  <si>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</si>
  <si>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</si>
  <si>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</si>
  <si>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</si>
  <si>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</si>
  <si>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</si>
  <si>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</si>
  <si>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</si>
  <si>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</si>
  <si>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</si>
  <si>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</si>
  <si>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</si>
  <si>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</si>
  <si>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</si>
  <si>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</si>
  <si>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</si>
  <si>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</si>
  <si>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</si>
  <si>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</si>
  <si>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</si>
  <si>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</si>
  <si>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</si>
  <si>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</si>
  <si>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</si>
  <si>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</si>
  <si>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</si>
  <si>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</si>
  <si>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</si>
  <si>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</si>
  <si>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</si>
  <si>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</si>
  <si>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</si>
  <si>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</si>
  <si>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</si>
  <si>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</si>
  <si>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</si>
  <si>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</si>
  <si>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</si>
  <si>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</si>
  <si>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</si>
  <si>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</si>
  <si>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</si>
  <si>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</si>
  <si>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</si>
  <si>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</si>
  <si>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</si>
  <si>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</si>
  <si>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</si>
  <si>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</si>
  <si>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</si>
  <si>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</si>
  <si>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</si>
  <si>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</si>
  <si>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</si>
  <si>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</si>
  <si>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</si>
  <si>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</si>
  <si>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</si>
  <si>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</si>
  <si>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</si>
  <si>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</si>
  <si>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</si>
  <si>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</si>
  <si>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</si>
  <si>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</si>
  <si>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</si>
  <si>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</si>
  <si>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</si>
  <si>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</si>
  <si>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</si>
  <si>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</si>
  <si>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</si>
  <si>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</si>
  <si>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</si>
  <si>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</si>
  <si>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</si>
  <si>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</si>
  <si>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</si>
  <si>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</si>
  <si>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</si>
  <si>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</si>
  <si>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</si>
  <si>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</si>
  <si>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</si>
  <si>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</si>
  <si>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</si>
  <si>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</si>
  <si>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</si>
  <si>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</si>
  <si>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</si>
  <si>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</si>
  <si>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</si>
  <si>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</si>
  <si>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</si>
  <si>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</si>
  <si>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</si>
  <si>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</si>
  <si>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</si>
  <si>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</si>
  <si>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</si>
  <si>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</si>
  <si>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</si>
  <si>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</si>
  <si>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</si>
  <si>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</si>
  <si>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</si>
  <si>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</si>
  <si>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</si>
  <si>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</si>
  <si>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</si>
  <si>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</si>
  <si>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</si>
  <si>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</si>
  <si>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</si>
  <si>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</si>
  <si>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</si>
  <si>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</si>
  <si>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</si>
  <si>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</si>
  <si>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</si>
  <si>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</si>
  <si>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</si>
  <si>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</si>
  <si>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</si>
  <si>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</si>
  <si>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</si>
  <si>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</si>
  <si>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</si>
  <si>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</si>
  <si>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</si>
  <si>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</si>
  <si>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</si>
  <si>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</si>
  <si>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</si>
  <si>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</si>
  <si>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</si>
  <si>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</si>
  <si>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</si>
  <si>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</si>
  <si>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</si>
  <si>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</si>
  <si>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</si>
  <si>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</si>
  <si>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</si>
  <si>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</si>
  <si>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</si>
  <si>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</si>
  <si>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</si>
  <si>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</si>
  <si>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</si>
  <si>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</si>
  <si>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</si>
  <si>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</si>
  <si>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</si>
  <si>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</si>
  <si>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</si>
  <si>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</si>
  <si>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Undersøgelsesudgifter i forbindelse med fusion</t>
  </si>
  <si>
    <t>Ingen tilknyttet virksomhed</t>
  </si>
  <si>
    <t>Ingen bortfald eller nedsættelse</t>
  </si>
  <si>
    <t>Udvidelse af forsyningsområde</t>
  </si>
  <si>
    <t>Ingen engangstillæg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</si>
  <si>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</si>
  <si>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</si>
  <si>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</si>
  <si>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</si>
  <si>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</si>
  <si>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Ventiler på Ø 50mm &lt; Ledningsnet ≤ Ø110 mm</t>
  </si>
  <si>
    <t>75</t>
  </si>
  <si>
    <t>Afregningsmålere, elektroniske, maksimal gennemstrømning &gt; 4 m3/t ≤ 15 m3/t</t>
  </si>
  <si>
    <t>10</t>
  </si>
  <si>
    <t>Pumpestation (inkl. evt. hydrofor)/trykforøger, Konstruktioner</t>
  </si>
  <si>
    <t>50</t>
  </si>
  <si>
    <t>Ø 50mm &lt; Ledningsnet ≤ Ø110 mm</t>
  </si>
  <si>
    <t>Yderligere opkrævningsret efter § 17, stk. 10 - 2017</t>
  </si>
  <si>
    <t>Yderligere opkrævningsret efter § 17, stk. 10 - 2018</t>
  </si>
  <si>
    <t>Køb af produkter og ydelser af vandselskaber reguleret af vandsektorloven (Neder Randlev Vandværk)</t>
  </si>
  <si>
    <t>Afgift for ledningsført vand (Neder Randlev Vandværk)</t>
  </si>
  <si>
    <t>Fusion med Neder Randlev Vandværk</t>
  </si>
  <si>
    <t>Overgang fra ulønnet til lønnet arbejdskraft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</si>
</sst>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4" t="s">
        <v>206</v>
      </c>
      <c r="E8" s="64"/>
      <c r="F8" s="64"/>
      <c r="G8" s="6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3" t="s">
        <v>5</v>
      </c>
      <c r="E11" s="63"/>
      <c r="F11" s="63"/>
      <c r="G11" s="6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151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207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40</v>
      </c>
      <c r="D15" s="56" t="s">
        <v>93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41</v>
      </c>
      <c r="D16" s="56" t="s">
        <v>152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150</v>
      </c>
      <c r="D17" s="56" t="s">
        <v>153</v>
      </c>
      <c r="E17" s="57"/>
      <c r="F17" s="57"/>
      <c r="G17" s="58"/>
      <c r="H17" s="1"/>
      <c r="I17" s="1"/>
    </row>
    <row r="18" spans="1:9" x14ac:dyDescent="0.25">
      <c r="A18" s="1"/>
      <c r="B18" s="1"/>
      <c r="C18" s="33" t="s">
        <v>134</v>
      </c>
      <c r="D18" s="65" t="s">
        <v>114</v>
      </c>
      <c r="E18" s="66"/>
      <c r="F18" s="66"/>
      <c r="G18" s="67"/>
      <c r="H18" s="1"/>
      <c r="I18" s="1"/>
    </row>
    <row r="19" spans="1:9" x14ac:dyDescent="0.25">
      <c r="A19" s="1"/>
      <c r="B19" s="1"/>
      <c r="C19" s="33" t="s">
        <v>135</v>
      </c>
      <c r="D19" s="65" t="s">
        <v>115</v>
      </c>
      <c r="E19" s="66"/>
      <c r="F19" s="66"/>
      <c r="G19" s="67"/>
      <c r="H19" s="1"/>
      <c r="I19" s="1"/>
    </row>
    <row r="20" spans="1:9" x14ac:dyDescent="0.25">
      <c r="A20" s="1"/>
      <c r="B20" s="1"/>
      <c r="C20" s="33" t="s">
        <v>7</v>
      </c>
      <c r="D20" s="65" t="s">
        <v>9</v>
      </c>
      <c r="E20" s="66"/>
      <c r="F20" s="66"/>
      <c r="G20" s="67"/>
      <c r="H20" s="1"/>
      <c r="I20" s="1"/>
    </row>
    <row r="21" spans="1:9" x14ac:dyDescent="0.25">
      <c r="A21" s="1"/>
      <c r="B21" s="1"/>
      <c r="C21" s="6" t="s">
        <v>136</v>
      </c>
      <c r="D21" s="71" t="s">
        <v>12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97</v>
      </c>
      <c r="D22" s="60" t="s">
        <v>154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42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217</v>
      </c>
      <c r="D24" s="60" t="s">
        <v>98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218</v>
      </c>
      <c r="D25" s="60" t="s">
        <v>99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219</v>
      </c>
      <c r="D26" s="60" t="s">
        <v>155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137</v>
      </c>
      <c r="D27" s="60" t="s">
        <v>43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128</v>
      </c>
      <c r="D28" s="68" t="s">
        <v>129</v>
      </c>
      <c r="E28" s="69"/>
      <c r="F28" s="69"/>
      <c r="G28" s="7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hDfQVAcDwxtY0EwLRxMvIs8JSsDp5BkD2tW2TSGR9pUrSx737ZaXUAkVW070N7MixHT0V2xQXAgaymEZmRpqw==" saltValue="sPyurgDNrrJnNpc7P+05F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4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140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168</v>
      </c>
      <c r="C8" s="98"/>
      <c r="D8" s="99"/>
      <c r="E8" s="1"/>
      <c r="F8" s="1"/>
    </row>
    <row r="9" spans="1:6" ht="15" customHeight="1" x14ac:dyDescent="0.25">
      <c r="A9" s="1"/>
      <c r="B9" s="49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2" t="s">
        <v>234</v>
      </c>
      <c r="C10" s="9">
        <v>5169986</v>
      </c>
      <c r="D10" s="14" t="s">
        <v>3</v>
      </c>
      <c r="E10" s="1"/>
      <c r="F10" s="1"/>
    </row>
    <row r="11" spans="1:6" x14ac:dyDescent="0.25">
      <c r="A11" s="1"/>
      <c r="B11" s="52" t="s">
        <v>235</v>
      </c>
      <c r="C11" s="9">
        <v>53410</v>
      </c>
      <c r="D11" s="14" t="s">
        <v>3</v>
      </c>
      <c r="E11" s="1"/>
      <c r="F11" s="1"/>
    </row>
    <row r="12" spans="1:6" x14ac:dyDescent="0.25">
      <c r="A12" s="1"/>
      <c r="B12" s="52" t="s">
        <v>236</v>
      </c>
      <c r="C12" s="9">
        <v>4037</v>
      </c>
      <c r="D12" s="14" t="s">
        <v>3</v>
      </c>
      <c r="E12" s="1"/>
      <c r="F12" s="1"/>
    </row>
    <row r="13" spans="1:6" x14ac:dyDescent="0.25">
      <c r="A13" s="1"/>
      <c r="B13" s="52" t="s">
        <v>237</v>
      </c>
      <c r="C13" s="9">
        <v>5950</v>
      </c>
      <c r="D13" s="14" t="s">
        <v>3</v>
      </c>
      <c r="E13" s="1"/>
      <c r="F13" s="1"/>
    </row>
    <row r="14" spans="1:6" x14ac:dyDescent="0.25">
      <c r="A14" s="1"/>
      <c r="B14" s="48" t="s">
        <v>246</v>
      </c>
      <c r="C14" s="9">
        <v>117088</v>
      </c>
      <c r="D14" s="14" t="s">
        <v>3</v>
      </c>
      <c r="E14" s="1"/>
      <c r="F14" s="1"/>
    </row>
    <row r="15" spans="1:6" ht="39" x14ac:dyDescent="0.25">
      <c r="A15" s="1"/>
      <c r="B15" s="55" t="s">
        <v>256</v>
      </c>
      <c r="C15" s="9">
        <v>51944</v>
      </c>
      <c r="D15" s="14" t="s">
        <v>3</v>
      </c>
      <c r="E15" s="1"/>
      <c r="F15" s="1"/>
    </row>
    <row r="16" spans="1:6" ht="26.25" x14ac:dyDescent="0.25">
      <c r="A16" s="1"/>
      <c r="B16" s="55" t="s">
        <v>257</v>
      </c>
      <c r="C16" s="9">
        <v>41973</v>
      </c>
      <c r="D16" s="14" t="s">
        <v>3</v>
      </c>
      <c r="E16" s="1"/>
      <c r="F16" s="1"/>
    </row>
    <row r="17" spans="1:6" x14ac:dyDescent="0.25">
      <c r="A17" s="1"/>
      <c r="B17" s="44" t="s">
        <v>169</v>
      </c>
      <c r="C17" s="12">
        <f>SUM(C10:C16)</f>
        <v>5444388</v>
      </c>
      <c r="D17" s="13" t="s">
        <v>3</v>
      </c>
      <c r="E17" s="1"/>
      <c r="F17" s="1"/>
    </row>
    <row r="18" spans="1:6" x14ac:dyDescent="0.25">
      <c r="A18" s="1"/>
      <c r="B18" s="44" t="s">
        <v>170</v>
      </c>
      <c r="C18" s="12">
        <f>C17*(1+'Fane 12. Nøgletal'!C13)^2</f>
        <v>5578041.4099099198</v>
      </c>
      <c r="D18" s="13" t="s">
        <v>3</v>
      </c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6"/>
      <c r="C20" s="15"/>
      <c r="D20" s="15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heetProtection algorithmName="SHA-512" hashValue="itxNU1GdoHOP4YKYCrJlkJcfCvuSrUTqHBD2MTXR2mxOJRF7/ZTJ5uqMzA+bsL8MDYELlND9laY8sy7ZsokYqA==" saltValue="+dAE2/TM+TA6lYDC/i3Nw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9.25" customHeight="1" x14ac:dyDescent="0.25">
      <c r="A2" s="1"/>
      <c r="B2" s="93" t="s">
        <v>172</v>
      </c>
      <c r="C2" s="93"/>
      <c r="D2" s="93"/>
      <c r="E2" s="93"/>
      <c r="F2" s="93"/>
      <c r="G2" s="1"/>
    </row>
    <row r="3" spans="1:7" ht="15" customHeight="1" x14ac:dyDescent="0.25">
      <c r="A3" s="1"/>
      <c r="B3" s="93"/>
      <c r="C3" s="93"/>
      <c r="D3" s="93"/>
      <c r="E3" s="93"/>
      <c r="F3" s="93"/>
      <c r="G3" s="1"/>
    </row>
    <row r="4" spans="1:7" ht="15" customHeight="1" x14ac:dyDescent="0.25">
      <c r="A4" s="1"/>
      <c r="B4" s="97" t="s">
        <v>39</v>
      </c>
      <c r="C4" s="98"/>
      <c r="D4" s="98"/>
      <c r="E4" s="98"/>
      <c r="F4" s="99"/>
      <c r="G4" s="1"/>
    </row>
    <row r="5" spans="1:7" ht="15" customHeight="1" x14ac:dyDescent="0.25">
      <c r="A5" s="1"/>
      <c r="B5" s="100" t="s">
        <v>37</v>
      </c>
      <c r="C5" s="101"/>
      <c r="D5" s="102"/>
      <c r="E5" s="9">
        <v>-957503.33166666667</v>
      </c>
      <c r="F5" s="14" t="s">
        <v>3</v>
      </c>
      <c r="G5" s="1"/>
    </row>
    <row r="6" spans="1:7" ht="15" customHeight="1" x14ac:dyDescent="0.25">
      <c r="A6" s="1"/>
      <c r="B6" s="100" t="s">
        <v>38</v>
      </c>
      <c r="C6" s="101"/>
      <c r="D6" s="102"/>
      <c r="E6" s="9">
        <v>1916690.5540243015</v>
      </c>
      <c r="F6" s="14" t="s">
        <v>3</v>
      </c>
      <c r="G6" s="1"/>
    </row>
    <row r="7" spans="1:7" ht="15" customHeight="1" x14ac:dyDescent="0.25">
      <c r="A7" s="1"/>
      <c r="B7" s="108" t="s">
        <v>131</v>
      </c>
      <c r="C7" s="109"/>
      <c r="D7" s="110"/>
      <c r="E7" s="10">
        <f>SUM(E5:E6)</f>
        <v>959187.2223576348</v>
      </c>
      <c r="F7" s="17" t="s">
        <v>3</v>
      </c>
      <c r="G7" s="1"/>
    </row>
    <row r="8" spans="1:7" ht="15" customHeight="1" x14ac:dyDescent="0.25">
      <c r="A8" s="1"/>
      <c r="B8" s="44"/>
      <c r="C8" s="45"/>
      <c r="D8" s="45"/>
      <c r="E8" s="45"/>
      <c r="F8" s="20"/>
      <c r="G8" s="1"/>
    </row>
    <row r="9" spans="1:7" ht="28.5" customHeight="1" x14ac:dyDescent="0.25">
      <c r="A9" s="1"/>
      <c r="B9" s="76" t="s">
        <v>132</v>
      </c>
      <c r="C9" s="77"/>
      <c r="D9" s="77"/>
      <c r="E9" s="77"/>
      <c r="F9" s="78"/>
      <c r="G9" s="1"/>
    </row>
    <row r="10" spans="1:7" ht="28.5" customHeight="1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97" t="s">
        <v>116</v>
      </c>
      <c r="C11" s="98"/>
      <c r="D11" s="98"/>
      <c r="E11" s="98"/>
      <c r="F11" s="99"/>
      <c r="G11" s="1"/>
    </row>
    <row r="12" spans="1:7" x14ac:dyDescent="0.25">
      <c r="A12" s="1"/>
      <c r="B12" s="100" t="s">
        <v>117</v>
      </c>
      <c r="C12" s="101"/>
      <c r="D12" s="102"/>
      <c r="E12" s="9">
        <v>13155085.278314717</v>
      </c>
      <c r="F12" s="14" t="s">
        <v>3</v>
      </c>
      <c r="G12" s="1"/>
    </row>
    <row r="13" spans="1:7" x14ac:dyDescent="0.25">
      <c r="A13" s="1"/>
      <c r="B13" s="100" t="s">
        <v>118</v>
      </c>
      <c r="C13" s="101"/>
      <c r="D13" s="102"/>
      <c r="E13" s="9">
        <v>12867177</v>
      </c>
      <c r="F13" s="14" t="s">
        <v>3</v>
      </c>
      <c r="G13" s="1"/>
    </row>
    <row r="14" spans="1:7" x14ac:dyDescent="0.25">
      <c r="A14" s="1"/>
      <c r="B14" s="100" t="s">
        <v>36</v>
      </c>
      <c r="C14" s="101"/>
      <c r="D14" s="102"/>
      <c r="E14" s="9">
        <v>0</v>
      </c>
      <c r="F14" s="14" t="s">
        <v>3</v>
      </c>
      <c r="G14" s="1"/>
    </row>
    <row r="15" spans="1:7" x14ac:dyDescent="0.25">
      <c r="A15" s="1"/>
      <c r="B15" s="108" t="s">
        <v>208</v>
      </c>
      <c r="C15" s="109"/>
      <c r="D15" s="110"/>
      <c r="E15" s="10">
        <f>E12-(E13-E14)</f>
        <v>287908.27831471711</v>
      </c>
      <c r="F15" s="17" t="s">
        <v>3</v>
      </c>
      <c r="G15" s="1"/>
    </row>
    <row r="16" spans="1:7" x14ac:dyDescent="0.25">
      <c r="A16" s="1"/>
      <c r="B16" s="44"/>
      <c r="C16" s="45"/>
      <c r="D16" s="45"/>
      <c r="E16" s="45"/>
      <c r="F16" s="20"/>
      <c r="G16" s="1"/>
    </row>
    <row r="17" spans="1:7" ht="30" customHeight="1" x14ac:dyDescent="0.25">
      <c r="A17" s="1"/>
      <c r="B17" s="76" t="s">
        <v>133</v>
      </c>
      <c r="C17" s="77"/>
      <c r="D17" s="77"/>
      <c r="E17" s="77"/>
      <c r="F17" s="78"/>
      <c r="G17" s="1"/>
    </row>
    <row r="18" spans="1:7" ht="28.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97" t="s">
        <v>50</v>
      </c>
      <c r="C19" s="98"/>
      <c r="D19" s="98"/>
      <c r="E19" s="98"/>
      <c r="F19" s="99"/>
      <c r="G19" s="1"/>
    </row>
    <row r="20" spans="1:7" x14ac:dyDescent="0.25">
      <c r="A20" s="1"/>
      <c r="B20" s="100" t="s">
        <v>51</v>
      </c>
      <c r="C20" s="101"/>
      <c r="D20" s="102"/>
      <c r="E20" s="9">
        <v>14421735.608495696</v>
      </c>
      <c r="F20" s="14" t="s">
        <v>3</v>
      </c>
      <c r="G20" s="1"/>
    </row>
    <row r="21" spans="1:7" x14ac:dyDescent="0.25">
      <c r="A21" s="1"/>
      <c r="B21" s="100" t="s">
        <v>52</v>
      </c>
      <c r="C21" s="101"/>
      <c r="D21" s="102"/>
      <c r="E21" s="9">
        <v>14790888</v>
      </c>
      <c r="F21" s="14" t="s">
        <v>3</v>
      </c>
      <c r="G21" s="1"/>
    </row>
    <row r="22" spans="1:7" x14ac:dyDescent="0.25">
      <c r="A22" s="1"/>
      <c r="B22" s="100" t="s">
        <v>36</v>
      </c>
      <c r="C22" s="101"/>
      <c r="D22" s="102"/>
      <c r="E22" s="9">
        <v>0</v>
      </c>
      <c r="F22" s="14" t="s">
        <v>3</v>
      </c>
      <c r="G22" s="1"/>
    </row>
    <row r="23" spans="1:7" x14ac:dyDescent="0.25">
      <c r="A23" s="1"/>
      <c r="B23" s="108" t="s">
        <v>209</v>
      </c>
      <c r="C23" s="109"/>
      <c r="D23" s="110"/>
      <c r="E23" s="10">
        <f>E20-(E21-E22)</f>
        <v>-369152.39150430448</v>
      </c>
      <c r="F23" s="17" t="s">
        <v>3</v>
      </c>
      <c r="G23" s="1"/>
    </row>
    <row r="24" spans="1:7" x14ac:dyDescent="0.25">
      <c r="A24" s="1"/>
      <c r="B24" s="44"/>
      <c r="C24" s="45"/>
      <c r="D24" s="45"/>
      <c r="E24" s="45"/>
      <c r="F24" s="20"/>
      <c r="G24" s="1"/>
    </row>
    <row r="25" spans="1:7" ht="28.5" customHeight="1" x14ac:dyDescent="0.25">
      <c r="A25" s="1"/>
      <c r="B25" s="76" t="s">
        <v>179</v>
      </c>
      <c r="C25" s="77"/>
      <c r="D25" s="77"/>
      <c r="E25" s="77"/>
      <c r="F25" s="78"/>
      <c r="G25" s="1"/>
    </row>
    <row r="26" spans="1:7" ht="28.5" customHeight="1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97" t="s">
        <v>200</v>
      </c>
      <c r="C27" s="98"/>
      <c r="D27" s="98"/>
      <c r="E27" s="98"/>
      <c r="F27" s="99"/>
      <c r="G27" s="1"/>
    </row>
    <row r="28" spans="1:7" x14ac:dyDescent="0.25">
      <c r="A28" s="1"/>
      <c r="B28" s="100" t="s">
        <v>201</v>
      </c>
      <c r="C28" s="101"/>
      <c r="D28" s="102"/>
      <c r="E28" s="9">
        <v>14821398.882624999</v>
      </c>
      <c r="F28" s="14" t="s">
        <v>3</v>
      </c>
      <c r="G28" s="1"/>
    </row>
    <row r="29" spans="1:7" x14ac:dyDescent="0.25">
      <c r="A29" s="1"/>
      <c r="B29" s="100" t="s">
        <v>202</v>
      </c>
      <c r="C29" s="101"/>
      <c r="D29" s="102"/>
      <c r="E29" s="9">
        <v>15129843.140000001</v>
      </c>
      <c r="F29" s="14" t="s">
        <v>3</v>
      </c>
      <c r="G29" s="1"/>
    </row>
    <row r="30" spans="1:7" x14ac:dyDescent="0.25">
      <c r="A30" s="1"/>
      <c r="B30" s="100" t="s">
        <v>36</v>
      </c>
      <c r="C30" s="101"/>
      <c r="D30" s="102"/>
      <c r="E30" s="9">
        <v>0</v>
      </c>
      <c r="F30" s="14" t="s">
        <v>3</v>
      </c>
      <c r="G30" s="1"/>
    </row>
    <row r="31" spans="1:7" x14ac:dyDescent="0.25">
      <c r="A31" s="1"/>
      <c r="B31" s="108" t="s">
        <v>210</v>
      </c>
      <c r="C31" s="109"/>
      <c r="D31" s="110"/>
      <c r="E31" s="10">
        <f>E28-(E29-E30)</f>
        <v>-308444.25737500191</v>
      </c>
      <c r="F31" s="17" t="s">
        <v>3</v>
      </c>
      <c r="G31" s="1"/>
    </row>
    <row r="32" spans="1:7" x14ac:dyDescent="0.25">
      <c r="A32" s="1"/>
      <c r="B32" s="44"/>
      <c r="C32" s="45"/>
      <c r="D32" s="45"/>
      <c r="E32" s="45"/>
      <c r="F32" s="20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7" t="s">
        <v>125</v>
      </c>
      <c r="C34" s="98"/>
      <c r="D34" s="98"/>
      <c r="E34" s="98"/>
      <c r="F34" s="99"/>
      <c r="G34" s="1"/>
    </row>
    <row r="35" spans="1:7" x14ac:dyDescent="0.25">
      <c r="A35" s="1"/>
      <c r="B35" s="111" t="s">
        <v>254</v>
      </c>
      <c r="C35" s="112"/>
      <c r="D35" s="113"/>
      <c r="E35" s="9">
        <v>1</v>
      </c>
      <c r="F35" s="14"/>
      <c r="G35" s="1"/>
    </row>
    <row r="36" spans="1:7" x14ac:dyDescent="0.25">
      <c r="A36" s="1"/>
      <c r="B36" s="111" t="s">
        <v>255</v>
      </c>
      <c r="C36" s="112"/>
      <c r="D36" s="113"/>
      <c r="E36" s="9">
        <v>0</v>
      </c>
      <c r="F36" s="14"/>
      <c r="G36" s="1"/>
    </row>
    <row r="37" spans="1:7" x14ac:dyDescent="0.25">
      <c r="A37" s="1"/>
      <c r="B37" s="111" t="s">
        <v>113</v>
      </c>
      <c r="C37" s="112"/>
      <c r="D37" s="113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-389688.37056458928</v>
      </c>
      <c r="F37" s="14" t="s">
        <v>3</v>
      </c>
      <c r="G37" s="1"/>
    </row>
    <row r="38" spans="1:7" x14ac:dyDescent="0.25">
      <c r="A38" s="1"/>
      <c r="B38" s="111" t="s">
        <v>130</v>
      </c>
      <c r="C38" s="112"/>
      <c r="D38" s="113"/>
      <c r="E38" s="9">
        <v>2</v>
      </c>
      <c r="F38" s="14" t="s">
        <v>19</v>
      </c>
      <c r="G38" s="1"/>
    </row>
    <row r="39" spans="1:7" ht="15" customHeight="1" x14ac:dyDescent="0.25">
      <c r="A39" s="1"/>
      <c r="B39" s="114" t="s">
        <v>203</v>
      </c>
      <c r="C39" s="114"/>
      <c r="D39" s="114"/>
      <c r="E39" s="10">
        <f>E37/E38</f>
        <v>-194844.18528229464</v>
      </c>
      <c r="F39" s="17" t="s">
        <v>3</v>
      </c>
      <c r="G39" s="1"/>
    </row>
    <row r="40" spans="1:7" x14ac:dyDescent="0.25">
      <c r="A40" s="1"/>
      <c r="B40" s="97"/>
      <c r="C40" s="98"/>
      <c r="D40" s="98"/>
      <c r="E40" s="98"/>
      <c r="F40" s="99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4" spans="1:7" x14ac:dyDescent="0.25">
      <c r="A44" s="37"/>
      <c r="B44" s="37"/>
      <c r="C44" s="37"/>
      <c r="D44" s="37"/>
      <c r="E44" s="37"/>
      <c r="F44" s="37"/>
      <c r="G44" s="37"/>
    </row>
    <row r="45" spans="1:7" x14ac:dyDescent="0.25">
      <c r="A45" s="37"/>
      <c r="B45" s="37"/>
      <c r="C45" s="37"/>
      <c r="D45" s="37"/>
      <c r="E45" s="37"/>
      <c r="F45" s="37"/>
      <c r="G45" s="37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</sheetData>
  <sheetProtection algorithmName="SHA-512" hashValue="UIyQRw/YItkyzb6aEWLUPYZlA7NxcoZIVgRvh5+RqbdhnO42CV05C7MCRxoaa7gnEi5Ga7nIIr6OY+w37AEqag==" saltValue="aE0lQCG2FUWaVMaXpn+3wg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216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197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7"/>
      <c r="I9" s="1"/>
    </row>
    <row r="10" spans="1:9" ht="26.25" x14ac:dyDescent="0.25">
      <c r="A10" s="1"/>
      <c r="B10" s="40" t="s">
        <v>247</v>
      </c>
      <c r="C10" s="41" t="s">
        <v>248</v>
      </c>
      <c r="D10" s="9">
        <v>129006</v>
      </c>
      <c r="E10" s="9">
        <f>IFERROR(D10/C10,0)</f>
        <v>1720.08</v>
      </c>
      <c r="F10" s="9">
        <v>0</v>
      </c>
      <c r="G10" s="9">
        <v>0</v>
      </c>
      <c r="H10" s="14" t="s">
        <v>3</v>
      </c>
      <c r="I10" s="1"/>
    </row>
    <row r="11" spans="1:9" ht="51.75" x14ac:dyDescent="0.25">
      <c r="A11" s="1"/>
      <c r="B11" s="40" t="s">
        <v>249</v>
      </c>
      <c r="C11" s="41" t="s">
        <v>250</v>
      </c>
      <c r="D11" s="9">
        <v>6455989</v>
      </c>
      <c r="E11" s="9">
        <f>IFERROR(D11/C11,0)</f>
        <v>645598.9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40" t="s">
        <v>251</v>
      </c>
      <c r="C12" s="41" t="s">
        <v>252</v>
      </c>
      <c r="D12" s="9">
        <v>1029621.54</v>
      </c>
      <c r="E12" s="9">
        <f t="shared" ref="E12:E13" si="0">IFERROR(D12/C12,0)</f>
        <v>20592.430800000002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40" t="s">
        <v>253</v>
      </c>
      <c r="C13" s="41" t="s">
        <v>248</v>
      </c>
      <c r="D13" s="9">
        <v>274429.89</v>
      </c>
      <c r="E13" s="9">
        <f t="shared" si="0"/>
        <v>3659.0652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97" t="s">
        <v>198</v>
      </c>
      <c r="C14" s="98"/>
      <c r="D14" s="99"/>
      <c r="E14" s="12">
        <f>SUM(E10:E13)</f>
        <v>671570.47599999991</v>
      </c>
      <c r="F14" s="12">
        <f t="shared" ref="F14:G14" si="1">SUM(F10:F13)</f>
        <v>0</v>
      </c>
      <c r="G14" s="12">
        <f t="shared" si="1"/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/JAqZ3NA/teY24JIsZHLlEljTKxZ8WEZpN+aXDZn8ycTlyvoBDVjml/DeHJcsnLE+EBBi8HXBPFso0U0e+9pg==" saltValue="AamvU59KmytLgdNO2dz/Fg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215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94</v>
      </c>
      <c r="C8" s="45"/>
      <c r="D8" s="45"/>
      <c r="E8" s="45"/>
      <c r="F8" s="20"/>
      <c r="G8" s="1"/>
    </row>
    <row r="9" spans="1:7" ht="17.25" customHeight="1" x14ac:dyDescent="0.25">
      <c r="A9" s="1"/>
      <c r="B9" s="50" t="s">
        <v>16</v>
      </c>
      <c r="C9" s="50" t="s">
        <v>11</v>
      </c>
      <c r="D9" s="51"/>
      <c r="E9" s="50" t="s">
        <v>34</v>
      </c>
      <c r="F9" s="47"/>
      <c r="G9" s="1"/>
    </row>
    <row r="10" spans="1:7" x14ac:dyDescent="0.25">
      <c r="A10" s="1"/>
      <c r="B10" s="25" t="s">
        <v>44</v>
      </c>
      <c r="C10" s="22">
        <f>'Fane 8. Anlægsprojekter'!F14</f>
        <v>0</v>
      </c>
      <c r="D10" s="14" t="s">
        <v>3</v>
      </c>
      <c r="E10" s="9">
        <f>SUM('Fane 8. Anlægsprojekter'!E14,'Fane 8. Anlægsprojekter'!G14)</f>
        <v>671570.47599999991</v>
      </c>
      <c r="F10" s="14" t="s">
        <v>3</v>
      </c>
      <c r="G10" s="1"/>
    </row>
    <row r="11" spans="1:7" x14ac:dyDescent="0.25">
      <c r="A11" s="1"/>
      <c r="B11" s="42" t="s">
        <v>240</v>
      </c>
      <c r="C11" s="22">
        <v>845429</v>
      </c>
      <c r="D11" s="14" t="s">
        <v>3</v>
      </c>
      <c r="E11" s="9">
        <v>12972</v>
      </c>
      <c r="F11" s="14" t="s">
        <v>3</v>
      </c>
      <c r="G11" s="1"/>
    </row>
    <row r="12" spans="1:7" x14ac:dyDescent="0.25">
      <c r="A12" s="1"/>
      <c r="B12" s="42" t="s">
        <v>258</v>
      </c>
      <c r="C12" s="22">
        <v>95479</v>
      </c>
      <c r="D12" s="14" t="s">
        <v>3</v>
      </c>
      <c r="E12" s="9">
        <v>39779</v>
      </c>
      <c r="F12" s="14" t="s">
        <v>3</v>
      </c>
      <c r="G12" s="1"/>
    </row>
    <row r="13" spans="1:7" x14ac:dyDescent="0.25">
      <c r="A13" s="1"/>
      <c r="B13" s="42" t="s">
        <v>259</v>
      </c>
      <c r="C13" s="22">
        <v>64309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44" t="s">
        <v>48</v>
      </c>
      <c r="C14" s="12">
        <f>SUM(C10:C13)</f>
        <v>1005217</v>
      </c>
      <c r="D14" s="13" t="s">
        <v>3</v>
      </c>
      <c r="E14" s="12">
        <f>SUM(E10:E13)</f>
        <v>724321.47599999991</v>
      </c>
      <c r="F14" s="13" t="s">
        <v>3</v>
      </c>
      <c r="G14" s="1"/>
    </row>
    <row r="15" spans="1:7" x14ac:dyDescent="0.25">
      <c r="A15" s="1"/>
      <c r="B15" s="44" t="s">
        <v>173</v>
      </c>
      <c r="C15" s="12">
        <f>C14*(1+'Fane 12. Nøgletal'!C13)</f>
        <v>1017480.6474</v>
      </c>
      <c r="D15" s="13" t="s">
        <v>3</v>
      </c>
      <c r="E15" s="12">
        <f>E14*(1+'Fane 12. Nøgletal'!C13)</f>
        <v>733158.19800719991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sNYvmv9CcQuchkotmJ/O95YeGQz2AohtVUc3/TOgFh7eBz7typPHZ9tIkrF2rEVRzSpP+gci/OtFu95p1TpKug==" saltValue="qn6L5cX1Wt5WkDIt4p1dm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214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119</v>
      </c>
      <c r="C8" s="98"/>
      <c r="D8" s="98"/>
      <c r="E8" s="98"/>
      <c r="F8" s="99"/>
      <c r="G8" s="1"/>
    </row>
    <row r="9" spans="1:7" x14ac:dyDescent="0.25">
      <c r="A9" s="1"/>
      <c r="B9" s="50" t="s">
        <v>16</v>
      </c>
      <c r="C9" s="50" t="s">
        <v>11</v>
      </c>
      <c r="D9" s="51"/>
      <c r="E9" s="50" t="s">
        <v>34</v>
      </c>
      <c r="F9" s="47"/>
      <c r="G9" s="1"/>
    </row>
    <row r="10" spans="1:7" x14ac:dyDescent="0.2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4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120</v>
      </c>
      <c r="C16" s="98"/>
      <c r="D16" s="98"/>
      <c r="E16" s="98"/>
      <c r="F16" s="99"/>
      <c r="G16" s="1"/>
    </row>
    <row r="17" spans="1:7" x14ac:dyDescent="0.25">
      <c r="A17" s="1"/>
      <c r="B17" s="50" t="s">
        <v>16</v>
      </c>
      <c r="C17" s="50" t="s">
        <v>11</v>
      </c>
      <c r="D17" s="51"/>
      <c r="E17" s="50" t="s">
        <v>34</v>
      </c>
      <c r="F17" s="47"/>
      <c r="G17" s="1"/>
    </row>
    <row r="18" spans="1:7" x14ac:dyDescent="0.2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4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4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121</v>
      </c>
      <c r="C24" s="98"/>
      <c r="D24" s="98"/>
      <c r="E24" s="98"/>
      <c r="F24" s="99"/>
      <c r="G24" s="1"/>
    </row>
    <row r="25" spans="1:7" x14ac:dyDescent="0.25">
      <c r="A25" s="1"/>
      <c r="B25" s="50" t="s">
        <v>16</v>
      </c>
      <c r="C25" s="50" t="s">
        <v>11</v>
      </c>
      <c r="D25" s="51"/>
      <c r="E25" s="50" t="s">
        <v>34</v>
      </c>
      <c r="F25" s="47"/>
      <c r="G25" s="1"/>
    </row>
    <row r="26" spans="1:7" x14ac:dyDescent="0.2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4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4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176</v>
      </c>
      <c r="C32" s="98"/>
      <c r="D32" s="98"/>
      <c r="E32" s="98"/>
      <c r="F32" s="99"/>
      <c r="G32" s="1"/>
    </row>
    <row r="33" spans="1:7" x14ac:dyDescent="0.25">
      <c r="A33" s="1"/>
      <c r="B33" s="50" t="s">
        <v>16</v>
      </c>
      <c r="C33" s="50" t="s">
        <v>11</v>
      </c>
      <c r="D33" s="51"/>
      <c r="E33" s="50" t="s">
        <v>34</v>
      </c>
      <c r="F33" s="47"/>
      <c r="G33" s="1"/>
    </row>
    <row r="34" spans="1:7" x14ac:dyDescent="0.2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4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4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OveK8oNtif6b3NIwNjKaF24uprQ0DDR57JlXD0pWl6liO3wGZaAd/PRoUbyPluRyGVouFfQEUcH1lYHVMwFcw==" saltValue="TpfqlbIGuLVkrMDQCFDMP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213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25">
      <c r="A9" s="1"/>
      <c r="B9" s="46" t="s">
        <v>157</v>
      </c>
      <c r="C9" s="88" t="s">
        <v>11</v>
      </c>
      <c r="D9" s="90"/>
      <c r="E9" s="88" t="s">
        <v>34</v>
      </c>
      <c r="F9" s="90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RFkmbr/Rs/2lwWLCGRwwJh8yibCT9qb1ZPGEPT7DLxgWlz6/7daPzaoAtnEwmeLt2MbevDrjcOUJpTpAY9NEQw==" saltValue="bUoqd7GRsN3Dvy3qnaFgM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212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25">
      <c r="A9" s="1"/>
      <c r="B9" s="46" t="s">
        <v>17</v>
      </c>
      <c r="C9" s="46" t="s">
        <v>11</v>
      </c>
      <c r="D9" s="47"/>
      <c r="E9" s="46" t="s">
        <v>34</v>
      </c>
      <c r="F9" s="47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4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7" t="s">
        <v>110</v>
      </c>
      <c r="C15" s="98"/>
      <c r="D15" s="98"/>
      <c r="E15" s="98"/>
      <c r="F15" s="99"/>
      <c r="G15" s="1"/>
    </row>
    <row r="16" spans="1:7" ht="26.25" x14ac:dyDescent="0.25">
      <c r="A16" s="1"/>
      <c r="B16" s="46" t="s">
        <v>17</v>
      </c>
      <c r="C16" s="46" t="s">
        <v>11</v>
      </c>
      <c r="D16" s="47"/>
      <c r="E16" s="46" t="s">
        <v>34</v>
      </c>
      <c r="F16" s="47"/>
      <c r="G16" s="1"/>
    </row>
    <row r="17" spans="1:7" x14ac:dyDescent="0.2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4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4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7" t="s">
        <v>112</v>
      </c>
      <c r="C22" s="98"/>
      <c r="D22" s="98"/>
      <c r="E22" s="98"/>
      <c r="F22" s="99"/>
      <c r="G22" s="1"/>
    </row>
    <row r="23" spans="1:7" ht="26.25" x14ac:dyDescent="0.25">
      <c r="A23" s="1"/>
      <c r="B23" s="46" t="s">
        <v>17</v>
      </c>
      <c r="C23" s="46" t="s">
        <v>11</v>
      </c>
      <c r="D23" s="47"/>
      <c r="E23" s="46" t="s">
        <v>34</v>
      </c>
      <c r="F23" s="47"/>
      <c r="G23" s="1"/>
    </row>
    <row r="24" spans="1:7" x14ac:dyDescent="0.2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4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4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182</v>
      </c>
      <c r="C29" s="98"/>
      <c r="D29" s="98"/>
      <c r="E29" s="98"/>
      <c r="F29" s="99"/>
      <c r="G29" s="1"/>
    </row>
    <row r="30" spans="1:7" ht="26.25" x14ac:dyDescent="0.25">
      <c r="A30" s="1"/>
      <c r="B30" s="46" t="s">
        <v>17</v>
      </c>
      <c r="C30" s="46" t="s">
        <v>11</v>
      </c>
      <c r="D30" s="47"/>
      <c r="E30" s="46" t="s">
        <v>34</v>
      </c>
      <c r="F30" s="47"/>
      <c r="G30" s="1"/>
    </row>
    <row r="31" spans="1:7" x14ac:dyDescent="0.2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4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4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hMTWW/Vh+OEXVbwvmBVzQss+ERocVrTrENTGA2vVmwDx1UFbV/vr2ffCCqAtZGrcCzh74DsJCNcVFR5LFQcZzg==" saltValue="iqNDz+rW0WpFktOAXUqU3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211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20"/>
      <c r="D8" s="1"/>
    </row>
    <row r="9" spans="1:4" x14ac:dyDescent="0.25">
      <c r="A9" s="1"/>
      <c r="B9" s="52" t="s">
        <v>141</v>
      </c>
      <c r="C9" s="26">
        <v>1.2699999999999999E-2</v>
      </c>
      <c r="D9" s="1"/>
    </row>
    <row r="10" spans="1:4" x14ac:dyDescent="0.25">
      <c r="A10" s="1"/>
      <c r="B10" s="52" t="s">
        <v>22</v>
      </c>
      <c r="C10" s="26">
        <v>1.7500000000000002E-2</v>
      </c>
      <c r="D10" s="1"/>
    </row>
    <row r="11" spans="1:4" x14ac:dyDescent="0.25">
      <c r="A11" s="1"/>
      <c r="B11" s="52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7"/>
      <c r="C14" s="99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126</v>
      </c>
      <c r="C17" s="20"/>
      <c r="D17" s="1"/>
    </row>
    <row r="18" spans="1:4" x14ac:dyDescent="0.25">
      <c r="A18" s="1"/>
      <c r="B18" s="52" t="s">
        <v>143</v>
      </c>
      <c r="C18" s="23">
        <v>9.1000000000000004E-3</v>
      </c>
      <c r="D18" s="1"/>
    </row>
    <row r="19" spans="1:4" x14ac:dyDescent="0.25">
      <c r="A19" s="1"/>
      <c r="B19" s="52" t="s">
        <v>144</v>
      </c>
      <c r="C19" s="23">
        <v>1.77E-2</v>
      </c>
      <c r="D19" s="1"/>
    </row>
    <row r="20" spans="1:4" x14ac:dyDescent="0.25">
      <c r="A20" s="1"/>
      <c r="B20" s="52" t="s">
        <v>145</v>
      </c>
      <c r="C20" s="23">
        <v>8.6999999999999994E-3</v>
      </c>
      <c r="D20" s="1"/>
    </row>
    <row r="21" spans="1:4" x14ac:dyDescent="0.25">
      <c r="A21" s="1"/>
      <c r="B21" s="52" t="s">
        <v>146</v>
      </c>
      <c r="C21" s="36">
        <v>2.8400000000000002E-2</v>
      </c>
      <c r="D21" s="1"/>
    </row>
    <row r="22" spans="1:4" x14ac:dyDescent="0.25">
      <c r="A22" s="1"/>
      <c r="B22" s="52" t="s">
        <v>186</v>
      </c>
      <c r="C22" s="36">
        <v>2.75E-2</v>
      </c>
      <c r="D22" s="1"/>
    </row>
    <row r="23" spans="1:4" x14ac:dyDescent="0.25">
      <c r="A23" s="1"/>
      <c r="B23" s="44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4" t="s">
        <v>127</v>
      </c>
      <c r="C26" s="20"/>
      <c r="D26" s="1"/>
    </row>
    <row r="27" spans="1:4" x14ac:dyDescent="0.25">
      <c r="A27" s="1"/>
      <c r="B27" s="52" t="s">
        <v>147</v>
      </c>
      <c r="C27" s="26">
        <v>0.02</v>
      </c>
      <c r="D27" s="1"/>
    </row>
    <row r="28" spans="1:4" x14ac:dyDescent="0.25">
      <c r="A28" s="1"/>
      <c r="B28" s="44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N8OickToaKSYsrN7QHKJRomsugVMo/xo5e7lPC6MEmzKoYPk5cMjnaqvcY/HCjiQL5M7Jtvd3yFQCJn84TsIFA==" saltValue="xm/uJh2VnMxJPNPAcAVAdw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161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13</v>
      </c>
      <c r="C8" s="45"/>
      <c r="D8" s="20"/>
      <c r="E8" s="1"/>
    </row>
    <row r="9" spans="1:5" x14ac:dyDescent="0.25">
      <c r="A9" s="1"/>
      <c r="B9" s="48" t="s">
        <v>25</v>
      </c>
      <c r="C9" s="7">
        <f>'Fane 3. Omkostninger i ØR2020'!E20</f>
        <v>11164623.222396957</v>
      </c>
      <c r="D9" s="8" t="s">
        <v>3</v>
      </c>
      <c r="E9" s="1"/>
    </row>
    <row r="10" spans="1:5" x14ac:dyDescent="0.25">
      <c r="A10" s="1"/>
      <c r="B10" s="48" t="s">
        <v>243</v>
      </c>
      <c r="C10" s="7">
        <v>-4971.394520166964</v>
      </c>
      <c r="D10" s="8" t="s">
        <v>3</v>
      </c>
      <c r="E10" s="1"/>
    </row>
    <row r="11" spans="1:5" ht="17.100000000000001" customHeight="1" x14ac:dyDescent="0.25">
      <c r="A11" s="1"/>
      <c r="B11" s="31" t="s">
        <v>45</v>
      </c>
      <c r="C11" s="7">
        <f>'Fane 9.1. Varige tillæg'!C15</f>
        <v>1017480.6474</v>
      </c>
      <c r="D11" s="8" t="s">
        <v>3</v>
      </c>
      <c r="E11" s="1"/>
    </row>
    <row r="12" spans="1:5" ht="17.100000000000001" customHeight="1" x14ac:dyDescent="0.25">
      <c r="A12" s="1"/>
      <c r="B12" s="31" t="s">
        <v>46</v>
      </c>
      <c r="C12" s="9">
        <f>'Fane 9.1. Varige tillæg'!E15</f>
        <v>733158.19800719991</v>
      </c>
      <c r="D12" s="8" t="s">
        <v>3</v>
      </c>
      <c r="E12" s="1"/>
    </row>
    <row r="13" spans="1:5" ht="17.100000000000001" customHeight="1" x14ac:dyDescent="0.2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25">
      <c r="A17" s="1"/>
      <c r="B17" s="31" t="s">
        <v>18</v>
      </c>
      <c r="C17" s="9">
        <f>SUM(C9:C16)*'Fane 12. Nøgletal'!C13</f>
        <v>157505.54621406467</v>
      </c>
      <c r="D17" s="8" t="s">
        <v>3</v>
      </c>
      <c r="E17" s="1"/>
    </row>
    <row r="18" spans="1:5" ht="17.100000000000001" customHeight="1" x14ac:dyDescent="0.25">
      <c r="A18" s="1"/>
      <c r="B18" s="31" t="s">
        <v>9</v>
      </c>
      <c r="C18" s="9">
        <f>-SUM(C9:C17)*'Fane 5. Individuelt eff. krav'!G10</f>
        <v>-174763.5377202449</v>
      </c>
      <c r="D18" s="8" t="s">
        <v>3</v>
      </c>
      <c r="E18" s="1"/>
    </row>
    <row r="19" spans="1:5" ht="17.100000000000001" customHeight="1" x14ac:dyDescent="0.25">
      <c r="A19" s="1"/>
      <c r="B19" s="31" t="s">
        <v>27</v>
      </c>
      <c r="C19" s="9">
        <f>-'Fane 4.1. Gen. krav - drift'!G31</f>
        <v>-121296.42491074358</v>
      </c>
      <c r="D19" s="8" t="s">
        <v>3</v>
      </c>
      <c r="E19" s="1"/>
    </row>
    <row r="20" spans="1:5" ht="17.100000000000001" customHeight="1" x14ac:dyDescent="0.25">
      <c r="A20" s="1"/>
      <c r="B20" s="31" t="s">
        <v>28</v>
      </c>
      <c r="C20" s="9">
        <f>-'Fane 4.2. Gen. krav - anlæg'!G31</f>
        <v>-203369.2057001288</v>
      </c>
      <c r="D20" s="8" t="s">
        <v>3</v>
      </c>
      <c r="E20" s="1"/>
    </row>
    <row r="21" spans="1:5" ht="17.100000000000001" customHeight="1" x14ac:dyDescent="0.25">
      <c r="A21" s="1"/>
      <c r="B21" s="53" t="s">
        <v>20</v>
      </c>
      <c r="C21" s="10">
        <f>SUM(C9:C20)</f>
        <v>12568367.051166937</v>
      </c>
      <c r="D21" s="11" t="s">
        <v>3</v>
      </c>
      <c r="E21" s="1"/>
    </row>
    <row r="22" spans="1:5" ht="15" customHeight="1" x14ac:dyDescent="0.25">
      <c r="A22" s="1"/>
      <c r="B22" s="44" t="s">
        <v>12</v>
      </c>
      <c r="C22" s="45"/>
      <c r="D22" s="20"/>
      <c r="E22" s="1"/>
    </row>
    <row r="23" spans="1:5" ht="15" customHeight="1" x14ac:dyDescent="0.25">
      <c r="A23" s="1"/>
      <c r="B23" s="46" t="s">
        <v>12</v>
      </c>
      <c r="C23" s="10">
        <f>'Fane 6. Ikke-påvirkelige omk.'!C18</f>
        <v>5578041.4099099198</v>
      </c>
      <c r="D23" s="11" t="s">
        <v>3</v>
      </c>
      <c r="E23" s="1"/>
    </row>
    <row r="24" spans="1:5" ht="15" customHeight="1" x14ac:dyDescent="0.25">
      <c r="A24" s="1"/>
      <c r="B24" s="44" t="s">
        <v>99</v>
      </c>
      <c r="C24" s="45"/>
      <c r="D24" s="20"/>
      <c r="E24" s="1"/>
    </row>
    <row r="25" spans="1:5" ht="15" customHeight="1" x14ac:dyDescent="0.2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2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25">
      <c r="A27" s="1"/>
      <c r="B27" s="53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25">
      <c r="A28" s="1"/>
      <c r="B28" s="38" t="s">
        <v>204</v>
      </c>
      <c r="C28" s="45"/>
      <c r="D28" s="20"/>
      <c r="E28" s="1"/>
    </row>
    <row r="29" spans="1:5" x14ac:dyDescent="0.25">
      <c r="A29" s="1"/>
      <c r="B29" s="39" t="s">
        <v>205</v>
      </c>
      <c r="C29" s="10">
        <f>'Fane 7. Kontrol af ØR2019'!E39</f>
        <v>-194844.18528229464</v>
      </c>
      <c r="D29" s="11" t="s">
        <v>3</v>
      </c>
      <c r="E29" s="1"/>
    </row>
    <row r="30" spans="1:5" x14ac:dyDescent="0.25">
      <c r="A30" s="1"/>
      <c r="B30" s="38" t="s">
        <v>244</v>
      </c>
      <c r="C30" s="45"/>
      <c r="D30" s="20"/>
      <c r="E30" s="1"/>
    </row>
    <row r="31" spans="1:5" x14ac:dyDescent="0.25">
      <c r="A31" s="1"/>
      <c r="B31" s="39" t="s">
        <v>245</v>
      </c>
      <c r="C31" s="10">
        <v>176.61412354376341</v>
      </c>
      <c r="D31" s="11" t="s">
        <v>3</v>
      </c>
      <c r="E31" s="1"/>
    </row>
    <row r="32" spans="1:5" x14ac:dyDescent="0.25">
      <c r="A32" s="1"/>
      <c r="B32" s="44" t="s">
        <v>31</v>
      </c>
      <c r="C32" s="32">
        <f>SUM(C21,C23,C27,C29,C31)</f>
        <v>17951740.889918108</v>
      </c>
      <c r="D32" s="20" t="s">
        <v>3</v>
      </c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1qE+RaRzC80dBkwHztJJbozYIAY+2Jrchpd29hqKal6AQ/okRAw2DTiJc7GbqHelbcflR3q/EcO1LLe229KHw==" saltValue="3qYHfU7kxH+xAm85apfQQ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162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/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13</v>
      </c>
      <c r="C8" s="45"/>
      <c r="D8" s="20"/>
      <c r="E8" s="1"/>
    </row>
    <row r="9" spans="1:5" ht="15" customHeight="1" x14ac:dyDescent="0.25">
      <c r="A9" s="1"/>
      <c r="B9" s="48" t="s">
        <v>26</v>
      </c>
      <c r="C9" s="7">
        <f>'Fane 2.1. Økonomisk ramme 2021'!C21</f>
        <v>12568367.051166937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3" t="s">
        <v>18</v>
      </c>
      <c r="C12" s="9">
        <f>SUM(C9:C11)*'Fane 12. Nøgletal'!C13</f>
        <v>153334.07802423663</v>
      </c>
      <c r="D12" s="8" t="s">
        <v>3</v>
      </c>
      <c r="E12" s="1"/>
    </row>
    <row r="13" spans="1:5" ht="15" customHeight="1" x14ac:dyDescent="0.25">
      <c r="A13" s="1"/>
      <c r="B13" s="43" t="s">
        <v>9</v>
      </c>
      <c r="C13" s="9">
        <f>-SUM(C9:C12)*'Fane 5. Individuelt eff. krav'!G10</f>
        <v>-170134.99887913637</v>
      </c>
      <c r="D13" s="8" t="s">
        <v>3</v>
      </c>
      <c r="E13" s="1"/>
    </row>
    <row r="14" spans="1:5" ht="15" customHeight="1" x14ac:dyDescent="0.25">
      <c r="A14" s="1"/>
      <c r="B14" s="43" t="s">
        <v>27</v>
      </c>
      <c r="C14" s="9">
        <f>-'Fane 4.1. Gen. krav - drift'!G37</f>
        <v>-120320.71646876154</v>
      </c>
      <c r="D14" s="8" t="s">
        <v>3</v>
      </c>
      <c r="E14" s="1"/>
    </row>
    <row r="15" spans="1:5" ht="15" customHeight="1" x14ac:dyDescent="0.25">
      <c r="A15" s="1"/>
      <c r="B15" s="43" t="s">
        <v>28</v>
      </c>
      <c r="C15" s="9">
        <f>-'Fane 4.2. Gen. krav - anlæg'!G37</f>
        <v>-200189.42648440445</v>
      </c>
      <c r="D15" s="8" t="s">
        <v>3</v>
      </c>
      <c r="E15" s="1"/>
    </row>
    <row r="16" spans="1:5" ht="15" customHeight="1" x14ac:dyDescent="0.25">
      <c r="A16" s="1"/>
      <c r="B16" s="49" t="s">
        <v>20</v>
      </c>
      <c r="C16" s="10">
        <f>SUM(C9:C15)</f>
        <v>12231055.987358872</v>
      </c>
      <c r="D16" s="11" t="s">
        <v>3</v>
      </c>
      <c r="E16" s="1"/>
    </row>
    <row r="17" spans="1:5" x14ac:dyDescent="0.25">
      <c r="A17" s="1"/>
      <c r="B17" s="44" t="s">
        <v>12</v>
      </c>
      <c r="C17" s="45"/>
      <c r="D17" s="20"/>
      <c r="E17" s="1"/>
    </row>
    <row r="18" spans="1:5" ht="15" customHeight="1" x14ac:dyDescent="0.25">
      <c r="A18" s="1"/>
      <c r="B18" s="46" t="s">
        <v>12</v>
      </c>
      <c r="C18" s="10">
        <f>'Fane 6. Ikke-påvirkelige omk.'!C18*(1+'Fane 12. Nøgletal'!C13)</f>
        <v>5646093.5151108205</v>
      </c>
      <c r="D18" s="11" t="s">
        <v>3</v>
      </c>
      <c r="E18" s="1"/>
    </row>
    <row r="19" spans="1:5" ht="15" customHeight="1" x14ac:dyDescent="0.25">
      <c r="A19" s="1"/>
      <c r="B19" s="44" t="s">
        <v>99</v>
      </c>
      <c r="C19" s="45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5"/>
      <c r="D23" s="20"/>
      <c r="E23" s="1"/>
    </row>
    <row r="24" spans="1:5" ht="15" customHeight="1" x14ac:dyDescent="0.25">
      <c r="A24" s="1"/>
      <c r="B24" s="54" t="s">
        <v>205</v>
      </c>
      <c r="C24" s="10">
        <f>'Fane 7. Kontrol af ØR2019'!E39</f>
        <v>-194844.18528229464</v>
      </c>
      <c r="D24" s="11" t="s">
        <v>3</v>
      </c>
      <c r="E24" s="1"/>
    </row>
    <row r="25" spans="1:5" x14ac:dyDescent="0.25">
      <c r="A25" s="1"/>
      <c r="B25" s="44" t="s">
        <v>32</v>
      </c>
      <c r="C25" s="12">
        <f>SUM(C16,C18,C22,C24)</f>
        <v>17682305.317187399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4f/uHPjbsTaZQdNhIWl7MZO1X97306aZqwGCqSEz1lZEloQvlSZjI3sMINf7LPuS2TTYZAmdZAT0L9/jcNUB7A==" saltValue="oUCDWsES1a3EJihE+vQid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163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13</v>
      </c>
      <c r="C7" s="45"/>
      <c r="D7" s="20"/>
      <c r="E7" s="1"/>
    </row>
    <row r="8" spans="1:5" ht="15" customHeight="1" x14ac:dyDescent="0.25">
      <c r="A8" s="1"/>
      <c r="B8" s="48" t="s">
        <v>165</v>
      </c>
      <c r="C8" s="7">
        <f>'Fane 2.2. Økonomisk ramme 2022'!C16</f>
        <v>12231055.987358872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3" t="s">
        <v>18</v>
      </c>
      <c r="C11" s="9">
        <f>SUM(C8:C10)*'Fane 12. Nøgletal'!C13</f>
        <v>149218.88304577826</v>
      </c>
      <c r="D11" s="8" t="s">
        <v>3</v>
      </c>
      <c r="E11" s="1"/>
    </row>
    <row r="12" spans="1:5" ht="15" customHeight="1" x14ac:dyDescent="0.25">
      <c r="A12" s="1"/>
      <c r="B12" s="43" t="s">
        <v>9</v>
      </c>
      <c r="C12" s="9">
        <f>-SUM(C8:C11)*'Fane 5. Individuelt eff. krav'!G10</f>
        <v>-165568.89914404173</v>
      </c>
      <c r="D12" s="8" t="s">
        <v>3</v>
      </c>
      <c r="E12" s="1"/>
    </row>
    <row r="13" spans="1:5" ht="15" customHeight="1" x14ac:dyDescent="0.25">
      <c r="A13" s="1"/>
      <c r="B13" s="43" t="s">
        <v>27</v>
      </c>
      <c r="C13" s="9">
        <f>-'Fane 4.1. Gen. krav - drift'!G43</f>
        <v>-119352.85662548682</v>
      </c>
      <c r="D13" s="8" t="s">
        <v>3</v>
      </c>
      <c r="E13" s="1"/>
    </row>
    <row r="14" spans="1:5" ht="15" customHeight="1" x14ac:dyDescent="0.25">
      <c r="A14" s="1"/>
      <c r="B14" s="43" t="s">
        <v>28</v>
      </c>
      <c r="C14" s="9">
        <f>-'Fane 4.2. Gen. krav - anlæg'!G43</f>
        <v>-197059.36470660756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SUM(C8:C14)</f>
        <v>11898293.749928514</v>
      </c>
      <c r="D15" s="11" t="s">
        <v>3</v>
      </c>
      <c r="E15" s="1"/>
    </row>
    <row r="16" spans="1:5" x14ac:dyDescent="0.25">
      <c r="A16" s="1"/>
      <c r="B16" s="44" t="s">
        <v>12</v>
      </c>
      <c r="C16" s="45"/>
      <c r="D16" s="20"/>
      <c r="E16" s="1"/>
    </row>
    <row r="17" spans="1:5" ht="15" customHeight="1" x14ac:dyDescent="0.25">
      <c r="A17" s="1"/>
      <c r="B17" s="46" t="s">
        <v>12</v>
      </c>
      <c r="C17" s="10">
        <f>'Fane 6. Ikke-påvirkelige omk.'!C18*(1+'Fane 12. Nøgletal'!C13)^2</f>
        <v>5714975.8559951726</v>
      </c>
      <c r="D17" s="11" t="s">
        <v>3</v>
      </c>
      <c r="E17" s="1"/>
    </row>
    <row r="18" spans="1:5" ht="15" customHeight="1" x14ac:dyDescent="0.25">
      <c r="A18" s="1"/>
      <c r="B18" s="44" t="s">
        <v>99</v>
      </c>
      <c r="C18" s="45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4" t="s">
        <v>109</v>
      </c>
      <c r="C22" s="12">
        <f>SUM(C15,C17,C21)</f>
        <v>17613269.605923686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O8DxSXKsdnUa6AiImuhgWNsOaGNyzSbhY7CzmVkGJF9YMyjuluh0MpZ8jrahb6y7IKQqmwBavyVpB4rHm18oA==" saltValue="wkGYw8lcfjLIuo17GuYI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164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13</v>
      </c>
      <c r="C7" s="45"/>
      <c r="D7" s="20"/>
      <c r="E7" s="1"/>
    </row>
    <row r="8" spans="1:5" ht="15" customHeight="1" x14ac:dyDescent="0.25">
      <c r="A8" s="1"/>
      <c r="B8" s="48" t="s">
        <v>166</v>
      </c>
      <c r="C8" s="7">
        <f>'Fane 2.3. Økonomisk ramme 2023'!C15</f>
        <v>11898293.749928514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3" t="s">
        <v>18</v>
      </c>
      <c r="C11" s="9">
        <f>SUM(C8:C10)*'Fane 12. Nøgletal'!C13</f>
        <v>145159.18374912787</v>
      </c>
      <c r="D11" s="8" t="s">
        <v>3</v>
      </c>
      <c r="E11" s="1"/>
    </row>
    <row r="12" spans="1:5" ht="15" customHeight="1" x14ac:dyDescent="0.25">
      <c r="A12" s="1"/>
      <c r="B12" s="43" t="s">
        <v>9</v>
      </c>
      <c r="C12" s="9">
        <f>-SUM(C8:C11)*'Fane 5. Individuelt eff. krav'!G10</f>
        <v>-161064.37579094819</v>
      </c>
      <c r="D12" s="8" t="s">
        <v>3</v>
      </c>
      <c r="E12" s="1"/>
    </row>
    <row r="13" spans="1:5" ht="15" customHeight="1" x14ac:dyDescent="0.25">
      <c r="A13" s="1"/>
      <c r="B13" s="43" t="s">
        <v>27</v>
      </c>
      <c r="C13" s="9">
        <f>-'Fane 4.1. Gen. krav - drift'!G49</f>
        <v>-118392.78224679139</v>
      </c>
      <c r="D13" s="8" t="s">
        <v>3</v>
      </c>
      <c r="E13" s="1"/>
    </row>
    <row r="14" spans="1:5" ht="15" customHeight="1" x14ac:dyDescent="0.25">
      <c r="A14" s="1"/>
      <c r="B14" s="43" t="s">
        <v>28</v>
      </c>
      <c r="C14" s="9">
        <f>-'Fane 4.2. Gen. krav - anlæg'!G49</f>
        <v>-193978.2430097374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SUM(C8:C14)</f>
        <v>11570017.532630166</v>
      </c>
      <c r="D15" s="11" t="s">
        <v>3</v>
      </c>
      <c r="E15" s="1"/>
    </row>
    <row r="16" spans="1:5" x14ac:dyDescent="0.25">
      <c r="A16" s="1"/>
      <c r="B16" s="44" t="s">
        <v>12</v>
      </c>
      <c r="C16" s="45"/>
      <c r="D16" s="20"/>
      <c r="E16" s="1"/>
    </row>
    <row r="17" spans="1:5" ht="15" customHeight="1" x14ac:dyDescent="0.25">
      <c r="A17" s="1"/>
      <c r="B17" s="46" t="s">
        <v>12</v>
      </c>
      <c r="C17" s="10">
        <f>'Fane 6. Ikke-påvirkelige omk.'!C18*(1+'Fane 12. Nøgletal'!C13)^3</f>
        <v>5784698.5614383146</v>
      </c>
      <c r="D17" s="11" t="s">
        <v>3</v>
      </c>
      <c r="E17" s="1"/>
    </row>
    <row r="18" spans="1:5" ht="15" customHeight="1" x14ac:dyDescent="0.25">
      <c r="A18" s="1"/>
      <c r="B18" s="44" t="s">
        <v>99</v>
      </c>
      <c r="C18" s="45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4" t="s">
        <v>242</v>
      </c>
      <c r="C22" s="12">
        <f>SUM(C15,C17,C21)</f>
        <v>17354716.094068483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xjM3imGxiOqZs0gygnl1/YKKyps7YhnoTnUKXFsiABKe7QcDElZEL302panWt6nAajQZoDwQxN6TWXlUJicBg==" saltValue="iuiCBCJLrmUHLrsEFL3wy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180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167</v>
      </c>
      <c r="C8" s="45"/>
      <c r="D8" s="45"/>
      <c r="E8" s="45"/>
      <c r="F8" s="20"/>
      <c r="G8" s="1"/>
    </row>
    <row r="9" spans="1:7" x14ac:dyDescent="0.25">
      <c r="A9" s="1"/>
      <c r="B9" s="94" t="s">
        <v>23</v>
      </c>
      <c r="C9" s="95"/>
      <c r="D9" s="96"/>
      <c r="E9" s="7">
        <v>10879241.658201521</v>
      </c>
      <c r="F9" s="8" t="s">
        <v>3</v>
      </c>
      <c r="G9" s="1"/>
    </row>
    <row r="10" spans="1:7" ht="15" customHeight="1" x14ac:dyDescent="0.25">
      <c r="A10" s="1"/>
      <c r="B10" s="79" t="s">
        <v>45</v>
      </c>
      <c r="C10" s="80"/>
      <c r="D10" s="81"/>
      <c r="E10" s="7">
        <v>54346.950900000003</v>
      </c>
      <c r="F10" s="8" t="s">
        <v>3</v>
      </c>
      <c r="G10" s="1"/>
    </row>
    <row r="11" spans="1:7" ht="15" customHeight="1" x14ac:dyDescent="0.25">
      <c r="A11" s="1"/>
      <c r="B11" s="79" t="s">
        <v>46</v>
      </c>
      <c r="C11" s="80"/>
      <c r="D11" s="81"/>
      <c r="E11" s="9">
        <v>355800.21609000006</v>
      </c>
      <c r="F11" s="8" t="s">
        <v>3</v>
      </c>
      <c r="G11" s="1"/>
    </row>
    <row r="12" spans="1:7" x14ac:dyDescent="0.25">
      <c r="A12" s="1"/>
      <c r="B12" s="79" t="s">
        <v>30</v>
      </c>
      <c r="C12" s="80"/>
      <c r="D12" s="81"/>
      <c r="E12" s="9">
        <v>0</v>
      </c>
      <c r="F12" s="8" t="s">
        <v>3</v>
      </c>
      <c r="G12" s="1"/>
    </row>
    <row r="13" spans="1:7" x14ac:dyDescent="0.25">
      <c r="A13" s="1"/>
      <c r="B13" s="79" t="s">
        <v>29</v>
      </c>
      <c r="C13" s="80"/>
      <c r="D13" s="81"/>
      <c r="E13" s="9">
        <v>0</v>
      </c>
      <c r="F13" s="8" t="s">
        <v>3</v>
      </c>
      <c r="G13" s="1"/>
    </row>
    <row r="14" spans="1:7" x14ac:dyDescent="0.25">
      <c r="A14" s="1"/>
      <c r="B14" s="79" t="s">
        <v>159</v>
      </c>
      <c r="C14" s="80"/>
      <c r="D14" s="81"/>
      <c r="E14" s="9">
        <v>0</v>
      </c>
      <c r="F14" s="8" t="s">
        <v>3</v>
      </c>
      <c r="G14" s="1"/>
    </row>
    <row r="15" spans="1:7" x14ac:dyDescent="0.25">
      <c r="A15" s="1"/>
      <c r="B15" s="79" t="s">
        <v>160</v>
      </c>
      <c r="C15" s="80"/>
      <c r="D15" s="81"/>
      <c r="E15" s="9">
        <v>0</v>
      </c>
      <c r="F15" s="8" t="s">
        <v>3</v>
      </c>
      <c r="G15" s="1"/>
    </row>
    <row r="16" spans="1:7" x14ac:dyDescent="0.25">
      <c r="A16" s="1"/>
      <c r="B16" s="79" t="s">
        <v>18</v>
      </c>
      <c r="C16" s="80"/>
      <c r="D16" s="81"/>
      <c r="E16" s="9">
        <f>E9*'Fane 12. Nøgletal'!C11+SUM(E10:E15)*'Fane 12. Nøgletal'!C12</f>
        <v>191939.08321330868</v>
      </c>
      <c r="F16" s="8" t="s">
        <v>3</v>
      </c>
      <c r="G16" s="1"/>
    </row>
    <row r="17" spans="1:7" x14ac:dyDescent="0.25">
      <c r="A17" s="1"/>
      <c r="B17" s="79" t="s">
        <v>9</v>
      </c>
      <c r="C17" s="80"/>
      <c r="D17" s="81"/>
      <c r="E17" s="9">
        <f>-SUM(E9:E16)*'Fane 5. Individuelt eff. krav'!G9</f>
        <v>-150292.92953225886</v>
      </c>
      <c r="F17" s="8" t="s">
        <v>3</v>
      </c>
      <c r="G17" s="1"/>
    </row>
    <row r="18" spans="1:7" x14ac:dyDescent="0.25">
      <c r="A18" s="1"/>
      <c r="B18" s="79" t="s">
        <v>27</v>
      </c>
      <c r="C18" s="80"/>
      <c r="D18" s="81"/>
      <c r="E18" s="9">
        <f>-'Fane 4.1. Gen. krav - drift'!G25</f>
        <v>-101515.13442610155</v>
      </c>
      <c r="F18" s="8" t="s">
        <v>3</v>
      </c>
      <c r="G18" s="1"/>
    </row>
    <row r="19" spans="1:7" x14ac:dyDescent="0.25">
      <c r="A19" s="1"/>
      <c r="B19" s="79" t="s">
        <v>28</v>
      </c>
      <c r="C19" s="80"/>
      <c r="D19" s="81"/>
      <c r="E19" s="9">
        <f>-'Fane 4.2. Gen. krav - anlæg'!G25</f>
        <v>-64896.622049510996</v>
      </c>
      <c r="F19" s="8" t="s">
        <v>3</v>
      </c>
      <c r="G19" s="1"/>
    </row>
    <row r="20" spans="1:7" x14ac:dyDescent="0.25">
      <c r="A20" s="1"/>
      <c r="B20" s="82" t="s">
        <v>20</v>
      </c>
      <c r="C20" s="83"/>
      <c r="D20" s="84"/>
      <c r="E20" s="10">
        <f>SUM(E9:E19)</f>
        <v>11164623.222396957</v>
      </c>
      <c r="F20" s="11" t="s">
        <v>3</v>
      </c>
      <c r="G20" s="1"/>
    </row>
    <row r="21" spans="1:7" x14ac:dyDescent="0.25">
      <c r="A21" s="1"/>
      <c r="B21" s="91" t="s">
        <v>12</v>
      </c>
      <c r="C21" s="92"/>
      <c r="D21" s="92"/>
      <c r="E21" s="45"/>
      <c r="F21" s="20"/>
      <c r="G21" s="1"/>
    </row>
    <row r="22" spans="1:7" x14ac:dyDescent="0.25">
      <c r="A22" s="1"/>
      <c r="B22" s="85" t="s">
        <v>12</v>
      </c>
      <c r="C22" s="86"/>
      <c r="D22" s="87"/>
      <c r="E22" s="10">
        <v>5460993.8024275564</v>
      </c>
      <c r="F22" s="11" t="s">
        <v>3</v>
      </c>
      <c r="G22" s="1"/>
    </row>
    <row r="23" spans="1:7" ht="15" customHeight="1" x14ac:dyDescent="0.25">
      <c r="A23" s="1"/>
      <c r="B23" s="91" t="s">
        <v>99</v>
      </c>
      <c r="C23" s="92"/>
      <c r="D23" s="92"/>
      <c r="E23" s="45"/>
      <c r="F23" s="45"/>
      <c r="G23" s="1"/>
    </row>
    <row r="24" spans="1:7" ht="14.25" customHeight="1" x14ac:dyDescent="0.25">
      <c r="A24" s="1"/>
      <c r="B24" s="76" t="s">
        <v>95</v>
      </c>
      <c r="C24" s="77"/>
      <c r="D24" s="78"/>
      <c r="E24" s="9">
        <v>0</v>
      </c>
      <c r="F24" s="8" t="s">
        <v>3</v>
      </c>
      <c r="G24" s="1"/>
    </row>
    <row r="25" spans="1:7" ht="14.25" customHeight="1" x14ac:dyDescent="0.25">
      <c r="A25" s="1"/>
      <c r="B25" s="76" t="s">
        <v>96</v>
      </c>
      <c r="C25" s="77"/>
      <c r="D25" s="78"/>
      <c r="E25" s="9">
        <v>0</v>
      </c>
      <c r="F25" s="8" t="s">
        <v>3</v>
      </c>
      <c r="G25" s="1"/>
    </row>
    <row r="26" spans="1:7" x14ac:dyDescent="0.25">
      <c r="A26" s="1"/>
      <c r="B26" s="88" t="s">
        <v>100</v>
      </c>
      <c r="C26" s="89"/>
      <c r="D26" s="89"/>
      <c r="E26" s="10">
        <v>0</v>
      </c>
      <c r="F26" s="11" t="s">
        <v>3</v>
      </c>
      <c r="G26" s="1"/>
    </row>
    <row r="27" spans="1:7" ht="14.25" customHeight="1" x14ac:dyDescent="0.25">
      <c r="A27" s="1"/>
      <c r="B27" s="44" t="s">
        <v>228</v>
      </c>
      <c r="C27" s="45"/>
      <c r="D27" s="45"/>
      <c r="E27" s="45"/>
      <c r="F27" s="45"/>
      <c r="G27" s="1"/>
    </row>
    <row r="28" spans="1:7" ht="13.15" customHeight="1" x14ac:dyDescent="0.25">
      <c r="A28" s="1"/>
      <c r="B28" s="88" t="s">
        <v>229</v>
      </c>
      <c r="C28" s="89"/>
      <c r="D28" s="90"/>
      <c r="E28" s="10">
        <v>-1697628</v>
      </c>
      <c r="F28" s="11" t="s">
        <v>3</v>
      </c>
      <c r="G28" s="1"/>
    </row>
    <row r="29" spans="1:7" x14ac:dyDescent="0.25">
      <c r="A29" s="1"/>
      <c r="B29" s="44" t="s">
        <v>230</v>
      </c>
      <c r="C29" s="45"/>
      <c r="D29" s="45"/>
      <c r="E29" s="45"/>
      <c r="F29" s="20"/>
      <c r="G29" s="1"/>
    </row>
    <row r="30" spans="1:7" ht="15" customHeight="1" x14ac:dyDescent="0.25">
      <c r="A30" s="1"/>
      <c r="B30" s="88" t="s">
        <v>231</v>
      </c>
      <c r="C30" s="89"/>
      <c r="D30" s="90"/>
      <c r="E30" s="10">
        <v>479593.6111788174</v>
      </c>
      <c r="F30" s="11" t="s">
        <v>3</v>
      </c>
      <c r="G30" s="1"/>
    </row>
    <row r="31" spans="1:7" x14ac:dyDescent="0.25">
      <c r="A31" s="1"/>
      <c r="B31" s="44" t="s">
        <v>232</v>
      </c>
      <c r="C31" s="45"/>
      <c r="D31" s="45"/>
      <c r="E31" s="45"/>
      <c r="F31" s="20"/>
      <c r="G31" s="1"/>
    </row>
    <row r="32" spans="1:7" x14ac:dyDescent="0.25">
      <c r="A32" s="1"/>
      <c r="B32" s="85" t="s">
        <v>233</v>
      </c>
      <c r="C32" s="86"/>
      <c r="D32" s="87"/>
      <c r="E32" s="10">
        <v>0</v>
      </c>
      <c r="F32" s="11" t="s">
        <v>3</v>
      </c>
      <c r="G32" s="1"/>
    </row>
    <row r="33" spans="1:7" x14ac:dyDescent="0.25">
      <c r="A33" s="1"/>
      <c r="B33" s="44" t="s">
        <v>24</v>
      </c>
      <c r="C33" s="45"/>
      <c r="D33" s="45"/>
      <c r="E33" s="12">
        <f>SUM(E30,E26,E28,E22,E20,E32)</f>
        <v>15407582.63600333</v>
      </c>
      <c r="F33" s="13" t="s">
        <v>3</v>
      </c>
      <c r="G33" s="1"/>
    </row>
    <row r="34" spans="1:7" ht="28.15" customHeight="1" x14ac:dyDescent="0.25">
      <c r="A34" s="1"/>
      <c r="B34" s="76" t="s">
        <v>179</v>
      </c>
      <c r="C34" s="77"/>
      <c r="D34" s="77"/>
      <c r="E34" s="77"/>
      <c r="F34" s="78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pBA+TJoB2KG2uEEjccBeegJUfAEbswm2ZCNrNgB+MRhqIJvvN6qSiqQOj5LIFWbWkm/MiDPi276/Epl3jKcwxQ==" saltValue="5aR7dUKkhNBtLGKUsc4kEQ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4" t="s">
        <v>138</v>
      </c>
      <c r="C1" s="74"/>
      <c r="D1" s="74"/>
      <c r="E1" s="74"/>
      <c r="F1" s="74"/>
      <c r="G1" s="74"/>
      <c r="H1" s="74"/>
      <c r="I1" s="1"/>
    </row>
    <row r="2" spans="1:9" ht="15" customHeight="1" x14ac:dyDescent="0.2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2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2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53</v>
      </c>
      <c r="C5" s="101"/>
      <c r="D5" s="101"/>
      <c r="E5" s="101"/>
      <c r="F5" s="102"/>
      <c r="G5" s="24">
        <v>5404911</v>
      </c>
      <c r="H5" s="14" t="s">
        <v>3</v>
      </c>
      <c r="I5" s="1"/>
    </row>
    <row r="6" spans="1:9" x14ac:dyDescent="0.25">
      <c r="A6" s="1"/>
      <c r="B6" s="100" t="s">
        <v>54</v>
      </c>
      <c r="C6" s="101"/>
      <c r="D6" s="101"/>
      <c r="E6" s="101"/>
      <c r="F6" s="102"/>
      <c r="G6" s="24">
        <f>G5*'Fane 12. Nøgletal'!C27</f>
        <v>108098.22</v>
      </c>
      <c r="H6" s="14" t="s">
        <v>3</v>
      </c>
      <c r="I6" s="1"/>
    </row>
    <row r="7" spans="1:9" x14ac:dyDescent="0.25">
      <c r="A7" s="1"/>
      <c r="B7" s="44"/>
      <c r="C7" s="45"/>
      <c r="D7" s="45"/>
      <c r="E7" s="45"/>
      <c r="F7" s="45"/>
      <c r="G7" s="4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5364082.3023060001</v>
      </c>
      <c r="H10" s="14" t="s">
        <v>3</v>
      </c>
      <c r="I10" s="1"/>
    </row>
    <row r="11" spans="1:9" x14ac:dyDescent="0.25">
      <c r="A11" s="1"/>
      <c r="B11" s="103" t="s">
        <v>56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107281.64604612</v>
      </c>
      <c r="H12" s="14" t="s">
        <v>3</v>
      </c>
      <c r="I12" s="1"/>
    </row>
    <row r="13" spans="1:9" x14ac:dyDescent="0.25">
      <c r="A13" s="1"/>
      <c r="B13" s="44"/>
      <c r="C13" s="45"/>
      <c r="D13" s="45"/>
      <c r="E13" s="45"/>
      <c r="F13" s="45"/>
      <c r="G13" s="4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58</v>
      </c>
      <c r="C16" s="101"/>
      <c r="D16" s="101"/>
      <c r="E16" s="101"/>
      <c r="F16" s="102"/>
      <c r="G16" s="24">
        <f>(G10-G12)*(1+'Fane 12. Nøgletal'!C11)</f>
        <v>5345640.5873506721</v>
      </c>
      <c r="H16" s="14" t="s">
        <v>3</v>
      </c>
      <c r="I16" s="1"/>
    </row>
    <row r="17" spans="1:9" x14ac:dyDescent="0.25">
      <c r="A17" s="1"/>
      <c r="B17" s="100" t="s">
        <v>148</v>
      </c>
      <c r="C17" s="101"/>
      <c r="D17" s="101"/>
      <c r="E17" s="101"/>
      <c r="F17" s="102"/>
      <c r="G17" s="24">
        <v>-307981.98159172566</v>
      </c>
      <c r="H17" s="14" t="s">
        <v>3</v>
      </c>
      <c r="I17" s="1"/>
    </row>
    <row r="18" spans="1:9" x14ac:dyDescent="0.25">
      <c r="A18" s="1"/>
      <c r="B18" s="103" t="s">
        <v>59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2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100753.17211517892</v>
      </c>
      <c r="H19" s="14" t="s">
        <v>3</v>
      </c>
      <c r="I19" s="1"/>
    </row>
    <row r="20" spans="1:9" x14ac:dyDescent="0.25">
      <c r="A20" s="1"/>
      <c r="B20" s="44"/>
      <c r="C20" s="45"/>
      <c r="D20" s="45"/>
      <c r="E20" s="45"/>
      <c r="F20" s="45"/>
      <c r="G20" s="4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5020339.135472347</v>
      </c>
      <c r="H23" s="14" t="s">
        <v>3</v>
      </c>
      <c r="I23" s="1"/>
    </row>
    <row r="24" spans="1:9" x14ac:dyDescent="0.25">
      <c r="A24" s="1"/>
      <c r="B24" s="103" t="s">
        <v>62</v>
      </c>
      <c r="C24" s="104"/>
      <c r="D24" s="104"/>
      <c r="E24" s="104"/>
      <c r="F24" s="105"/>
      <c r="G24" s="24">
        <v>55417.585832730008</v>
      </c>
      <c r="H24" s="14" t="s">
        <v>3</v>
      </c>
      <c r="I24" s="1"/>
    </row>
    <row r="25" spans="1:9" x14ac:dyDescent="0.2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101515.13442610155</v>
      </c>
      <c r="H25" s="14" t="s">
        <v>3</v>
      </c>
      <c r="I25" s="1"/>
    </row>
    <row r="26" spans="1:9" x14ac:dyDescent="0.25">
      <c r="A26" s="1"/>
      <c r="B26" s="44"/>
      <c r="C26" s="45"/>
      <c r="D26" s="45"/>
      <c r="E26" s="45"/>
      <c r="F26" s="45"/>
      <c r="G26" s="4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5034927.3342388989</v>
      </c>
      <c r="H29" s="14" t="s">
        <v>3</v>
      </c>
      <c r="I29" s="1"/>
    </row>
    <row r="30" spans="1:9" x14ac:dyDescent="0.25">
      <c r="A30" s="1"/>
      <c r="B30" s="100" t="s">
        <v>187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1029893.91129828</v>
      </c>
      <c r="H30" s="14" t="s">
        <v>3</v>
      </c>
      <c r="I30" s="1"/>
    </row>
    <row r="31" spans="1:9" x14ac:dyDescent="0.2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121296.42491074358</v>
      </c>
      <c r="H31" s="14" t="s">
        <v>3</v>
      </c>
      <c r="I31" s="1"/>
    </row>
    <row r="32" spans="1:9" x14ac:dyDescent="0.25">
      <c r="A32" s="1"/>
      <c r="B32" s="44"/>
      <c r="C32" s="45"/>
      <c r="D32" s="45"/>
      <c r="E32" s="45"/>
      <c r="F32" s="45"/>
      <c r="G32" s="4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6016035.8234380772</v>
      </c>
      <c r="H35" s="14" t="s">
        <v>3</v>
      </c>
      <c r="I35" s="1"/>
    </row>
    <row r="36" spans="1:9" x14ac:dyDescent="0.2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120320.71646876154</v>
      </c>
      <c r="H37" s="14" t="s">
        <v>3</v>
      </c>
      <c r="I37" s="1"/>
    </row>
    <row r="38" spans="1:9" x14ac:dyDescent="0.25">
      <c r="A38" s="1"/>
      <c r="B38" s="44"/>
      <c r="C38" s="45"/>
      <c r="D38" s="45"/>
      <c r="E38" s="45"/>
      <c r="F38" s="45"/>
      <c r="G38" s="45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5967642.8312743409</v>
      </c>
      <c r="H41" s="14" t="s">
        <v>3</v>
      </c>
      <c r="I41" s="1"/>
    </row>
    <row r="42" spans="1:9" x14ac:dyDescent="0.2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119352.85662548682</v>
      </c>
      <c r="H43" s="14" t="s">
        <v>3</v>
      </c>
      <c r="I43" s="1"/>
    </row>
    <row r="44" spans="1:9" x14ac:dyDescent="0.25">
      <c r="A44" s="1"/>
      <c r="B44" s="44"/>
      <c r="C44" s="45"/>
      <c r="D44" s="45"/>
      <c r="E44" s="45"/>
      <c r="F44" s="45"/>
      <c r="G44" s="45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5919639.1123395693</v>
      </c>
      <c r="H47" s="14" t="s">
        <v>3</v>
      </c>
      <c r="I47" s="1"/>
    </row>
    <row r="48" spans="1:9" x14ac:dyDescent="0.2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118392.78224679139</v>
      </c>
      <c r="H49" s="14" t="s">
        <v>3</v>
      </c>
      <c r="I49" s="1"/>
    </row>
    <row r="50" spans="1:9" x14ac:dyDescent="0.25">
      <c r="A50" s="1"/>
      <c r="B50" s="44"/>
      <c r="C50" s="45"/>
      <c r="D50" s="45"/>
      <c r="E50" s="45"/>
      <c r="F50" s="45"/>
      <c r="G50" s="45"/>
      <c r="H50" s="20"/>
      <c r="I50" s="1"/>
    </row>
  </sheetData>
  <sheetProtection algorithmName="SHA-512" hashValue="9BRZEhmBs6fOhrrv3nJyHgoKL4WomLd/pDUAilHgAarV0T76vW1UJkCI+kVXxoRYjJdqUy5h6YF8vccUwZrm/g==" saltValue="HoC/huABdUsmp+p8P7dkoA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72</v>
      </c>
      <c r="C5" s="101"/>
      <c r="D5" s="101"/>
      <c r="E5" s="101"/>
      <c r="F5" s="102"/>
      <c r="G5" s="24">
        <v>5885449.4345811922</v>
      </c>
      <c r="H5" s="14" t="s">
        <v>3</v>
      </c>
      <c r="I5" s="1"/>
    </row>
    <row r="6" spans="1:9" x14ac:dyDescent="0.25">
      <c r="A6" s="1"/>
      <c r="B6" s="100" t="s">
        <v>69</v>
      </c>
      <c r="C6" s="101"/>
      <c r="D6" s="101"/>
      <c r="E6" s="101"/>
      <c r="F6" s="102"/>
      <c r="G6" s="24">
        <f>G5*'Fane 12. Nøgletal'!C18</f>
        <v>53557.589854688849</v>
      </c>
      <c r="H6" s="14" t="s">
        <v>3</v>
      </c>
      <c r="I6" s="1"/>
    </row>
    <row r="7" spans="1:9" x14ac:dyDescent="0.25">
      <c r="A7" s="1"/>
      <c r="B7" s="44"/>
      <c r="C7" s="45"/>
      <c r="D7" s="45"/>
      <c r="E7" s="45"/>
      <c r="F7" s="45"/>
      <c r="G7" s="4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5905956.871154529</v>
      </c>
      <c r="H10" s="14" t="s">
        <v>3</v>
      </c>
      <c r="I10" s="1"/>
    </row>
    <row r="11" spans="1:9" x14ac:dyDescent="0.25">
      <c r="A11" s="1"/>
      <c r="B11" s="103" t="s">
        <v>75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53744.207527506216</v>
      </c>
      <c r="H12" s="14" t="s">
        <v>3</v>
      </c>
      <c r="I12" s="1"/>
    </row>
    <row r="13" spans="1:9" x14ac:dyDescent="0.25">
      <c r="A13" s="1"/>
      <c r="B13" s="44"/>
      <c r="C13" s="45"/>
      <c r="D13" s="45"/>
      <c r="E13" s="45"/>
      <c r="F13" s="45"/>
      <c r="G13" s="4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5951115.0576423192</v>
      </c>
      <c r="H16" s="14" t="s">
        <v>3</v>
      </c>
      <c r="I16" s="1"/>
    </row>
    <row r="17" spans="1:9" x14ac:dyDescent="0.25">
      <c r="A17" s="1"/>
      <c r="B17" s="100" t="s">
        <v>149</v>
      </c>
      <c r="C17" s="101"/>
      <c r="D17" s="101"/>
      <c r="E17" s="101"/>
      <c r="F17" s="102"/>
      <c r="G17" s="24">
        <v>59462.366569985788</v>
      </c>
      <c r="H17" s="14" t="s">
        <v>3</v>
      </c>
      <c r="I17" s="1"/>
    </row>
    <row r="18" spans="1:9" x14ac:dyDescent="0.25">
      <c r="A18" s="1"/>
      <c r="B18" s="103" t="s">
        <v>79</v>
      </c>
      <c r="C18" s="104"/>
      <c r="D18" s="104"/>
      <c r="E18" s="104"/>
      <c r="F18" s="105"/>
      <c r="G18" s="24">
        <v>214331.82212786996</v>
      </c>
      <c r="H18" s="14" t="s">
        <v>3</v>
      </c>
      <c r="I18" s="1"/>
    </row>
    <row r="19" spans="1:9" x14ac:dyDescent="0.2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54156.710443159522</v>
      </c>
      <c r="H19" s="14" t="s">
        <v>3</v>
      </c>
      <c r="I19" s="1"/>
    </row>
    <row r="20" spans="1:9" x14ac:dyDescent="0.25">
      <c r="A20" s="1"/>
      <c r="B20" s="44"/>
      <c r="C20" s="45"/>
      <c r="D20" s="45"/>
      <c r="E20" s="45"/>
      <c r="F20" s="45"/>
      <c r="G20" s="4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6275038.2537536742</v>
      </c>
      <c r="H23" s="14" t="s">
        <v>3</v>
      </c>
      <c r="I23" s="1"/>
    </row>
    <row r="24" spans="1:9" x14ac:dyDescent="0.25">
      <c r="A24" s="1"/>
      <c r="B24" s="103" t="s">
        <v>83</v>
      </c>
      <c r="C24" s="104"/>
      <c r="D24" s="104"/>
      <c r="E24" s="104"/>
      <c r="F24" s="105"/>
      <c r="G24" s="24">
        <v>362809.48034697305</v>
      </c>
      <c r="H24" s="14" t="s">
        <v>3</v>
      </c>
      <c r="I24" s="1"/>
    </row>
    <row r="25" spans="1:9" x14ac:dyDescent="0.2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64896.622049510996</v>
      </c>
      <c r="H25" s="14" t="s">
        <v>3</v>
      </c>
      <c r="I25" s="1"/>
    </row>
    <row r="26" spans="1:9" x14ac:dyDescent="0.25">
      <c r="A26" s="1"/>
      <c r="B26" s="44"/>
      <c r="C26" s="45"/>
      <c r="D26" s="45"/>
      <c r="E26" s="45"/>
      <c r="F26" s="45"/>
      <c r="G26" s="4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6653141.11561816</v>
      </c>
      <c r="H29" s="14" t="s">
        <v>3</v>
      </c>
      <c r="I29" s="1"/>
    </row>
    <row r="30" spans="1:9" x14ac:dyDescent="0.25">
      <c r="A30" s="1"/>
      <c r="B30" s="100" t="s">
        <v>192</v>
      </c>
      <c r="C30" s="101"/>
      <c r="D30" s="101"/>
      <c r="E30" s="101"/>
      <c r="F30" s="102"/>
      <c r="G30" s="24">
        <f>SUM('Fane 2.1. Økonomisk ramme 2021'!C12,'Fane 2.1. Økonomisk ramme 2021'!C14,'Fane 2.1. Økonomisk ramme 2021'!C16)*(1+'Fane 12. Nøgletal'!C13)</f>
        <v>742102.72802288772</v>
      </c>
      <c r="H30" s="14" t="s">
        <v>3</v>
      </c>
      <c r="I30" s="1"/>
    </row>
    <row r="31" spans="1:9" x14ac:dyDescent="0.2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203369.2057001288</v>
      </c>
      <c r="H31" s="14" t="s">
        <v>3</v>
      </c>
      <c r="I31" s="1"/>
    </row>
    <row r="32" spans="1:9" x14ac:dyDescent="0.25">
      <c r="A32" s="1"/>
      <c r="B32" s="44"/>
      <c r="C32" s="45"/>
      <c r="D32" s="45"/>
      <c r="E32" s="45"/>
      <c r="F32" s="45"/>
      <c r="G32" s="4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7279615.5085237985</v>
      </c>
      <c r="H35" s="14" t="s">
        <v>3</v>
      </c>
      <c r="I35" s="1"/>
    </row>
    <row r="36" spans="1:9" x14ac:dyDescent="0.2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200189.42648440445</v>
      </c>
      <c r="H37" s="14" t="s">
        <v>3</v>
      </c>
      <c r="I37" s="1"/>
    </row>
    <row r="38" spans="1:9" x14ac:dyDescent="0.25">
      <c r="A38" s="1"/>
      <c r="B38" s="44"/>
      <c r="C38" s="45"/>
      <c r="D38" s="45"/>
      <c r="E38" s="45"/>
      <c r="F38" s="45"/>
      <c r="G38" s="45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7165795.0802402748</v>
      </c>
      <c r="H41" s="14" t="s">
        <v>3</v>
      </c>
      <c r="I41" s="1"/>
    </row>
    <row r="42" spans="1:9" x14ac:dyDescent="0.2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197059.36470660756</v>
      </c>
      <c r="H43" s="14" t="s">
        <v>3</v>
      </c>
      <c r="I43" s="1"/>
    </row>
    <row r="44" spans="1:9" x14ac:dyDescent="0.25">
      <c r="A44" s="1"/>
      <c r="B44" s="44"/>
      <c r="C44" s="45"/>
      <c r="D44" s="45"/>
      <c r="E44" s="45"/>
      <c r="F44" s="45"/>
      <c r="G44" s="45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7053754.291263178</v>
      </c>
      <c r="H47" s="14" t="s">
        <v>3</v>
      </c>
      <c r="I47" s="1"/>
    </row>
    <row r="48" spans="1:9" x14ac:dyDescent="0.2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193978.2430097374</v>
      </c>
      <c r="H49" s="14" t="s">
        <v>3</v>
      </c>
      <c r="I49" s="1"/>
    </row>
    <row r="50" spans="1:9" x14ac:dyDescent="0.25">
      <c r="A50" s="1"/>
      <c r="B50" s="44"/>
      <c r="C50" s="45"/>
      <c r="D50" s="45"/>
      <c r="E50" s="45"/>
      <c r="F50" s="45"/>
      <c r="G50" s="45"/>
      <c r="H50" s="20"/>
      <c r="I50" s="1"/>
    </row>
  </sheetData>
  <sheetProtection algorithmName="SHA-512" hashValue="JrfviWsWszsgi0gXYBiM2A7CMEsM+aT5uoSpDTUDYRNgSqC7GrrIgR91SpCcq13qVJwM3BeWmngP8eFF304hNg==" saltValue="eQrYhYhmO/QBczhhaHRK5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101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124</v>
      </c>
      <c r="C9" s="101"/>
      <c r="D9" s="101"/>
      <c r="E9" s="101"/>
      <c r="F9" s="102"/>
      <c r="G9" s="23">
        <v>1.309020443726182E-2</v>
      </c>
      <c r="H9" s="14"/>
      <c r="I9" s="1"/>
    </row>
    <row r="10" spans="1:9" x14ac:dyDescent="0.25">
      <c r="A10" s="1"/>
      <c r="B10" s="100" t="s">
        <v>181</v>
      </c>
      <c r="C10" s="101"/>
      <c r="D10" s="101"/>
      <c r="E10" s="101"/>
      <c r="F10" s="102"/>
      <c r="G10" s="23">
        <v>1.337360445363279E-2</v>
      </c>
      <c r="H10" s="14"/>
      <c r="I10" s="1"/>
    </row>
    <row r="11" spans="1:9" x14ac:dyDescent="0.25">
      <c r="A11" s="1"/>
      <c r="B11" s="44"/>
      <c r="C11" s="45"/>
      <c r="D11" s="45"/>
      <c r="E11" s="45"/>
      <c r="F11" s="45"/>
      <c r="G11" s="45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TTStBp9i5EZZ5wOpzsQq/ZkMUi/3LU1dcm+RNG6+HT7TbhI7t+h2gM/Sw8tghzysZUURRg4qghDHU4a0nBvfA==" saltValue="U9wQrebqRi85a5wEh4c5g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2021-09-15T10:32:47Z</dcterms:modified>
</cp:coreProperties>
</file>