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København AS (S045)\ØR2025\"/>
    </mc:Choice>
  </mc:AlternateContent>
  <xr:revisionPtr revIDLastSave="0" documentId="13_ncr:1_{8293BC60-7EB8-40F2-B657-41F47137C1A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2" i="19"/>
  <c r="C23"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32" i="37"/>
  <c r="C33" i="37" s="1"/>
  <c r="C10" i="2" l="1"/>
  <c r="C16" i="30" l="1"/>
  <c r="C17" i="30" s="1"/>
  <c r="C21" i="30" l="1"/>
  <c r="C22" i="30" s="1"/>
  <c r="C18" i="2"/>
  <c r="E32" i="37"/>
  <c r="E33"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<sst xmlns="http://schemas.openxmlformats.org/spreadsheetml/2006/main" count="595" uniqueCount="253">
  <si>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</si>
  <si>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</si>
  <si>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</si>
  <si>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</si>
  <si>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</si>
  <si>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</si>
  <si>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</si>
  <si>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</si>
  <si>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</si>
  <si>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</si>
  <si>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</si>
  <si>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</si>
  <si>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</si>
  <si>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</si>
  <si>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</si>
  <si>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</si>
  <si>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</si>
  <si>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</si>
  <si>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</si>
  <si>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</si>
  <si>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</si>
  <si>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</si>
  <si>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</si>
  <si>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</si>
  <si>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</si>
  <si>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</si>
  <si>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</si>
  <si>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</si>
  <si>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</si>
  <si>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</si>
  <si>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</si>
  <si>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</si>
  <si>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</si>
  <si>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</si>
  <si>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</si>
  <si>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</si>
  <si>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</si>
  <si>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</si>
  <si>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</si>
  <si>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</si>
  <si>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</si>
  <si>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</si>
  <si>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</si>
  <si>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</si>
  <si>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</si>
  <si>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</si>
  <si>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</si>
  <si>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</si>
  <si>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</si>
  <si>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</si>
  <si>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</si>
  <si>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</si>
  <si>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</si>
  <si>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</si>
  <si>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</si>
  <si>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</si>
  <si>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</si>
  <si>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</si>
  <si>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</si>
  <si>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</si>
  <si>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</si>
  <si>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</si>
  <si>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</si>
  <si>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</si>
  <si>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</si>
  <si>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</si>
  <si>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</si>
  <si>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</si>
  <si>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</si>
  <si>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</si>
  <si>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</si>
  <si>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</si>
  <si>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</si>
  <si>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</si>
  <si>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</si>
  <si>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</si>
  <si>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</si>
  <si>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</si>
  <si>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</si>
  <si>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</si>
  <si>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</si>
  <si>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</si>
  <si>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</si>
  <si>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</si>
  <si>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</si>
  <si>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</si>
  <si>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</si>
  <si>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</si>
  <si>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</si>
  <si>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</si>
  <si>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</si>
  <si>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</si>
  <si>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</si>
  <si>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</si>
  <si>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</si>
  <si>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</si>
  <si>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</si>
  <si>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</si>
  <si>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</si>
  <si>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</si>
  <si>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</si>
  <si>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</si>
  <si>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</si>
  <si>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</si>
  <si>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</si>
  <si>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</si>
  <si>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</si>
  <si>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</si>
  <si>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</si>
  <si>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</si>
  <si>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</si>
  <si>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</si>
  <si>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</si>
  <si>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</si>
  <si>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</si>
  <si>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</si>
  <si>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</si>
  <si>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</si>
  <si>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</si>
  <si>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</si>
  <si>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</si>
  <si>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</si>
  <si>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</si>
  <si>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</si>
  <si>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</si>
  <si>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</si>
  <si>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</si>
  <si>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</si>
  <si>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</si>
  <si>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</si>
  <si>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</si>
  <si>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</si>
  <si>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</si>
  <si>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</si>
  <si>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</si>
  <si>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</si>
  <si>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</si>
  <si>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</si>
  <si>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</si>
  <si>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</si>
  <si>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</si>
  <si>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</si>
  <si>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</si>
  <si>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</si>
  <si>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</si>
  <si>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</si>
  <si>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</si>
  <si>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</si>
  <si>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</si>
  <si>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</si>
  <si>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</si>
  <si>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</si>
  <si>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</si>
  <si>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</si>
  <si>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</si>
  <si>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</si>
  <si>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</si>
  <si>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</si>
  <si>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</si>
  <si>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</si>
  <si>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</si>
  <si>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</si>
  <si>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</si>
  <si>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</si>
  <si>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</si>
  <si>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</si>
  <si>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</si>
  <si>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</si>
  <si>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</si>
  <si>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</si>
  <si>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</si>
  <si>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</si>
  <si>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</si>
  <si>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</si>
  <si>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</si>
  <si>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</si>
  <si>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</si>
  <si>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</si>
  <si>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</si>
  <si>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</si>
  <si>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</si>
  <si>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</si>
  <si>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</si>
  <si>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</si>
  <si>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</si>
  <si>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</si>
  <si>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</si>
  <si>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</si>
  <si>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</si>
  <si>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</si>
  <si>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</si>
  <si>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</si>
  <si>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</si>
  <si>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</si>
  <si>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</si>
  <si>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</si>
  <si>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</si>
  <si>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</si>
  <si>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</si>
  <si>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</si>
  <si>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</si>
  <si>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</si>
  <si>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</si>
  <si>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</si>
  <si>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</si>
  <si>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</si>
  <si>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</si>
  <si>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</si>
  <si>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</si>
  <si>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</si>
  <si>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</si>
  <si>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</si>
  <si>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</si>
  <si>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</si>
  <si>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</si>
  <si>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</si>
  <si>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</si>
  <si>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</si>
  <si>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</si>
  <si>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</si>
  <si>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</si>
  <si>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</si>
  <si>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</si>
  <si>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</si>
  <si>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</si>
  <si>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</si>
  <si>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</si>
  <si>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</si>
  <si>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Ejendomsskatter</t>
  </si>
  <si>
    <t>Gebyr til Miljøstyrelsen</t>
  </si>
  <si>
    <t>Til statusmeddelelse for 2025</t>
  </si>
  <si>
    <t>AC Meyers Vænge</t>
  </si>
  <si>
    <t>Drift af grønne veje</t>
  </si>
  <si>
    <t>Fredens Bro</t>
  </si>
  <si>
    <t>GF Gimle</t>
  </si>
  <si>
    <t>Hovmestervej</t>
  </si>
  <si>
    <t>IB 6 Bredgade Fredericiagade</t>
  </si>
  <si>
    <t>Karens Minde</t>
  </si>
  <si>
    <t>Nattergalevej</t>
  </si>
  <si>
    <t>Straussvej</t>
  </si>
  <si>
    <t>Tagensvej og Lygten BIR 7.6_7.2</t>
  </si>
  <si>
    <t>Byggemodning Grønttorvet</t>
  </si>
  <si>
    <t>Byggemodning Indre Sundmolen</t>
  </si>
  <si>
    <t>C.F. Møllervej m.fl.</t>
  </si>
  <si>
    <t>Pumpestation Kalvebod alle</t>
  </si>
  <si>
    <t>Sluseholmen Syd</t>
  </si>
  <si>
    <t>Svaneknoppen</t>
  </si>
  <si>
    <t>Øget indbyggertal</t>
  </si>
  <si>
    <t>Harrestrup Å</t>
  </si>
  <si>
    <t>Sundmolen</t>
  </si>
  <si>
    <t>Betalinger til projekters medfinansiering</t>
  </si>
  <si>
    <t>Omlægning Kongens Nytorv</t>
  </si>
  <si>
    <t>Else Alsfeltvej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</si>
</sst>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230</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127</v>
      </c>
      <c r="D13" s="102"/>
      <c r="E13" s="102"/>
      <c r="F13" s="103"/>
      <c r="G13" s="5"/>
    </row>
    <row r="14" spans="1:7" x14ac:dyDescent="0.25">
      <c r="A14" s="1"/>
      <c r="B14" s="6" t="s">
        <v>16</v>
      </c>
      <c r="C14" s="92" t="s">
        <v>186</v>
      </c>
      <c r="D14" s="93"/>
      <c r="E14" s="93"/>
      <c r="F14" s="94"/>
      <c r="G14" s="5"/>
    </row>
    <row r="15" spans="1:7" x14ac:dyDescent="0.25">
      <c r="A15" s="1"/>
      <c r="B15" s="6" t="s">
        <v>30</v>
      </c>
      <c r="C15" s="92" t="s">
        <v>149</v>
      </c>
      <c r="D15" s="93"/>
      <c r="E15" s="93"/>
      <c r="F15" s="94"/>
      <c r="G15" s="5"/>
    </row>
    <row r="16" spans="1:7" x14ac:dyDescent="0.25">
      <c r="A16" s="1"/>
      <c r="B16" s="6" t="s">
        <v>31</v>
      </c>
      <c r="C16" s="92" t="s">
        <v>151</v>
      </c>
      <c r="D16" s="93"/>
      <c r="E16" s="93"/>
      <c r="F16" s="94"/>
      <c r="G16" s="5"/>
    </row>
    <row r="17" spans="1:8" x14ac:dyDescent="0.25">
      <c r="A17" s="1"/>
      <c r="B17" s="6" t="s">
        <v>61</v>
      </c>
      <c r="C17" s="92" t="s">
        <v>152</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153</v>
      </c>
      <c r="D22" s="84"/>
      <c r="E22" s="84"/>
      <c r="F22" s="85"/>
      <c r="G22" s="5"/>
    </row>
    <row r="23" spans="1:8" x14ac:dyDescent="0.25">
      <c r="A23" s="1"/>
      <c r="B23" s="6" t="s">
        <v>8</v>
      </c>
      <c r="C23" s="83" t="s">
        <v>112</v>
      </c>
      <c r="D23" s="84"/>
      <c r="E23" s="84"/>
      <c r="F23" s="85"/>
      <c r="G23" s="5"/>
    </row>
    <row r="24" spans="1:8" x14ac:dyDescent="0.25">
      <c r="A24" s="1"/>
      <c r="B24" s="6" t="s">
        <v>9</v>
      </c>
      <c r="C24" s="83" t="s">
        <v>154</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150</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vKpQAuxKPMP1zbDVNnT+ZXrP/YpDxJmphVPReWJd/H0zLYusuNlCbdsEWFFJrnTZCmDNpwTS8WCKAnAuMO8YTw==" saltValue="6J1DQE0iZImDMzUtK2Yoz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8"/>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226</v>
      </c>
      <c r="C10" s="72">
        <v>729642</v>
      </c>
      <c r="D10" s="14" t="s">
        <v>3</v>
      </c>
      <c r="E10" s="1"/>
    </row>
    <row r="11" spans="1:5" ht="15" customHeight="1" x14ac:dyDescent="0.25">
      <c r="A11" s="1"/>
      <c r="B11" s="71" t="s">
        <v>227</v>
      </c>
      <c r="C11" s="72">
        <v>232693767</v>
      </c>
      <c r="D11" s="14" t="s">
        <v>3</v>
      </c>
      <c r="E11" s="1"/>
    </row>
    <row r="12" spans="1:5" x14ac:dyDescent="0.25">
      <c r="A12" s="1"/>
      <c r="B12" s="71" t="s">
        <v>228</v>
      </c>
      <c r="C12" s="72">
        <v>6117481</v>
      </c>
      <c r="D12" s="14" t="s">
        <v>3</v>
      </c>
      <c r="E12" s="1"/>
    </row>
    <row r="13" spans="1:5" x14ac:dyDescent="0.25">
      <c r="A13" s="1"/>
      <c r="B13" s="71" t="s">
        <v>250</v>
      </c>
      <c r="C13" s="72">
        <v>23820511</v>
      </c>
      <c r="D13" s="14" t="s">
        <v>3</v>
      </c>
      <c r="E13" s="1"/>
    </row>
    <row r="14" spans="1:5" x14ac:dyDescent="0.25">
      <c r="A14" s="1"/>
      <c r="B14" s="71" t="s">
        <v>229</v>
      </c>
      <c r="C14" s="72">
        <v>10785</v>
      </c>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71"/>
      <c r="C20" s="72"/>
      <c r="D20" s="14" t="s">
        <v>3</v>
      </c>
      <c r="E20" s="1"/>
    </row>
    <row r="21" spans="1:5" x14ac:dyDescent="0.25">
      <c r="A21" s="1"/>
      <c r="B21" s="71"/>
      <c r="C21" s="72"/>
      <c r="D21" s="14" t="s">
        <v>3</v>
      </c>
      <c r="E21" s="1"/>
    </row>
    <row r="22" spans="1:5" x14ac:dyDescent="0.25">
      <c r="A22" s="1"/>
      <c r="B22" s="33" t="s">
        <v>167</v>
      </c>
      <c r="C22" s="12">
        <f>SUM(C10:C21)</f>
        <v>263372186</v>
      </c>
      <c r="D22" s="13" t="s">
        <v>3</v>
      </c>
      <c r="E22" s="1"/>
    </row>
    <row r="23" spans="1:5" x14ac:dyDescent="0.25">
      <c r="A23" s="1"/>
      <c r="B23" s="33" t="s">
        <v>168</v>
      </c>
      <c r="C23" s="12">
        <f>C22*(1+'Fane 15. Nøgletal'!C10)^2</f>
        <v>299453040.34787834</v>
      </c>
      <c r="D23" s="13" t="s">
        <v>3</v>
      </c>
      <c r="E23" s="1"/>
    </row>
    <row r="24" spans="1:5" x14ac:dyDescent="0.25">
      <c r="A24" s="1"/>
      <c r="B24" s="16"/>
      <c r="C24" s="15"/>
      <c r="D24" s="15"/>
      <c r="E24" s="1"/>
    </row>
    <row r="25" spans="1:5" x14ac:dyDescent="0.25">
      <c r="A25" s="1"/>
      <c r="B25" s="16"/>
      <c r="C25" s="15"/>
      <c r="D25" s="15"/>
      <c r="E25" s="1"/>
    </row>
    <row r="26" spans="1:5" x14ac:dyDescent="0.25">
      <c r="A26" s="1"/>
      <c r="B26" s="108" t="s">
        <v>60</v>
      </c>
      <c r="C26" s="109"/>
      <c r="D26" s="110"/>
      <c r="E26" s="1"/>
    </row>
    <row r="27" spans="1:5" x14ac:dyDescent="0.25">
      <c r="A27" s="1"/>
      <c r="B27" s="37" t="s">
        <v>72</v>
      </c>
      <c r="C27" s="9">
        <v>17910977</v>
      </c>
      <c r="D27" s="14" t="s">
        <v>3</v>
      </c>
      <c r="E27" s="1"/>
    </row>
    <row r="28" spans="1:5" x14ac:dyDescent="0.25">
      <c r="A28" s="1"/>
      <c r="B28" s="37" t="s">
        <v>83</v>
      </c>
      <c r="C28" s="9">
        <v>17811881</v>
      </c>
      <c r="D28" s="14" t="s">
        <v>3</v>
      </c>
      <c r="E28" s="1"/>
    </row>
    <row r="29" spans="1:5" x14ac:dyDescent="0.25">
      <c r="A29" s="1"/>
      <c r="B29" s="37" t="s">
        <v>148</v>
      </c>
      <c r="C29" s="9">
        <v>17835063</v>
      </c>
      <c r="D29" s="14" t="s">
        <v>3</v>
      </c>
      <c r="E29" s="1"/>
    </row>
    <row r="30" spans="1:5" x14ac:dyDescent="0.25">
      <c r="A30" s="1"/>
      <c r="B30" s="34" t="s">
        <v>169</v>
      </c>
      <c r="C30" s="9">
        <v>17858633</v>
      </c>
      <c r="D30" s="36" t="s">
        <v>3</v>
      </c>
      <c r="E30" s="1"/>
    </row>
    <row r="31" spans="1:5" x14ac:dyDescent="0.25">
      <c r="A31" s="1"/>
      <c r="B31" s="108"/>
      <c r="C31" s="109"/>
      <c r="D31" s="110"/>
      <c r="E31" s="1"/>
    </row>
    <row r="32" spans="1:5" x14ac:dyDescent="0.25">
      <c r="A32" s="1"/>
      <c r="B32" s="1"/>
      <c r="C32" s="1"/>
      <c r="D32" s="1"/>
      <c r="E32" s="1"/>
    </row>
    <row r="33" spans="1:5" x14ac:dyDescent="0.25">
      <c r="A33" s="1"/>
      <c r="B33" s="1"/>
      <c r="C33" s="1"/>
      <c r="D33" s="1"/>
      <c r="E33" s="1"/>
    </row>
    <row r="34" spans="1:5" x14ac:dyDescent="0.25">
      <c r="A34" s="1"/>
      <c r="B34" s="108" t="s">
        <v>47</v>
      </c>
      <c r="C34" s="109"/>
      <c r="D34" s="110"/>
      <c r="E34" s="1"/>
    </row>
    <row r="35" spans="1:5" x14ac:dyDescent="0.25">
      <c r="A35" s="1"/>
      <c r="B35" s="37" t="s">
        <v>72</v>
      </c>
      <c r="C35" s="9">
        <v>0</v>
      </c>
      <c r="D35" s="14" t="s">
        <v>3</v>
      </c>
      <c r="E35" s="1"/>
    </row>
    <row r="36" spans="1:5" x14ac:dyDescent="0.25">
      <c r="A36" s="1"/>
      <c r="B36" s="37" t="s">
        <v>83</v>
      </c>
      <c r="C36" s="9">
        <v>0</v>
      </c>
      <c r="D36" s="14" t="s">
        <v>3</v>
      </c>
      <c r="E36" s="1"/>
    </row>
    <row r="37" spans="1:5" x14ac:dyDescent="0.25">
      <c r="A37" s="1"/>
      <c r="B37" s="37" t="s">
        <v>148</v>
      </c>
      <c r="C37" s="9">
        <v>0</v>
      </c>
      <c r="D37" s="14" t="s">
        <v>3</v>
      </c>
      <c r="E37" s="1"/>
    </row>
    <row r="38" spans="1:5" x14ac:dyDescent="0.25">
      <c r="A38" s="1"/>
      <c r="B38" s="34" t="s">
        <v>169</v>
      </c>
      <c r="C38" s="9">
        <v>0</v>
      </c>
      <c r="D38" s="36" t="s">
        <v>3</v>
      </c>
      <c r="E38" s="1"/>
    </row>
    <row r="39" spans="1:5" x14ac:dyDescent="0.25">
      <c r="A39" s="1"/>
      <c r="B39" s="108"/>
      <c r="C39" s="109"/>
      <c r="D39" s="110"/>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x14ac:dyDescent="0.25">
      <c r="A51" s="1"/>
      <c r="B51" s="1"/>
      <c r="C51" s="1"/>
      <c r="D51" s="1"/>
      <c r="E51" s="1"/>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row r="57" spans="1:5" hidden="1" x14ac:dyDescent="0.25">
      <c r="A57" s="44"/>
      <c r="B57" s="44"/>
      <c r="C57" s="44"/>
      <c r="D57" s="44"/>
      <c r="E57" s="44"/>
    </row>
    <row r="58" spans="1:5" hidden="1" x14ac:dyDescent="0.25">
      <c r="A58" s="44"/>
      <c r="B58" s="44"/>
      <c r="C58" s="44"/>
      <c r="D58" s="44"/>
      <c r="E58" s="44"/>
    </row>
  </sheetData>
  <sheetProtection algorithmName="SHA-512" hashValue="4SrZLC7EGaxFMifHBsv08d+ALtigExoUcA5aR71o6E3Ac1b/nfqvVJ2SzMlMpe4j6KryzAcmbzb/0g0p/wvB9A==" saltValue="hoooMR7gPn7L9M2KcgZfkQ==" spinCount="100000" sheet="1" objects="1" scenarios="1"/>
  <mergeCells count="6">
    <mergeCell ref="B39:D39"/>
    <mergeCell ref="B3:D4"/>
    <mergeCell ref="B8:D8"/>
    <mergeCell ref="B26:D26"/>
    <mergeCell ref="B34:D34"/>
    <mergeCell ref="B31:D31"/>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-22981162.77274847</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-16472756</v>
      </c>
      <c r="D14" s="14" t="s">
        <v>3</v>
      </c>
      <c r="E14" s="1"/>
    </row>
    <row r="15" spans="1:5" x14ac:dyDescent="0.25">
      <c r="A15" s="1"/>
      <c r="B15" s="65" t="s">
        <v>203</v>
      </c>
      <c r="C15" s="9">
        <v>-16472756</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551591010.68131518</v>
      </c>
      <c r="D20" s="14" t="s">
        <v>3</v>
      </c>
      <c r="E20" s="1"/>
    </row>
    <row r="21" spans="1:5" x14ac:dyDescent="0.25">
      <c r="A21" s="1"/>
      <c r="B21" s="65" t="s">
        <v>207</v>
      </c>
      <c r="C21" s="9">
        <v>566695624</v>
      </c>
      <c r="D21" s="14" t="s">
        <v>3</v>
      </c>
      <c r="E21" s="1"/>
    </row>
    <row r="22" spans="1:5" x14ac:dyDescent="0.25">
      <c r="A22" s="1"/>
      <c r="B22" s="65" t="s">
        <v>29</v>
      </c>
      <c r="C22" s="9">
        <v>-2460000</v>
      </c>
      <c r="D22" s="14" t="s">
        <v>3</v>
      </c>
      <c r="E22" s="1"/>
    </row>
    <row r="23" spans="1:5" x14ac:dyDescent="0.25">
      <c r="A23" s="1"/>
      <c r="B23" s="82" t="s">
        <v>208</v>
      </c>
      <c r="C23" s="57">
        <f>C20-C21-C22</f>
        <v>-12644613.318684816</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-16472756</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-12644613.318684816</v>
      </c>
      <c r="D31" s="14" t="s">
        <v>3</v>
      </c>
      <c r="E31" s="1"/>
    </row>
    <row r="32" spans="1:5" x14ac:dyDescent="0.25">
      <c r="A32" s="1"/>
      <c r="B32" s="66" t="s">
        <v>49</v>
      </c>
      <c r="C32" s="9">
        <v>2</v>
      </c>
      <c r="D32" s="14" t="s">
        <v>20</v>
      </c>
      <c r="E32" s="1"/>
    </row>
    <row r="33" spans="1:5" x14ac:dyDescent="0.25">
      <c r="A33" s="1"/>
      <c r="B33" s="67" t="s">
        <v>70</v>
      </c>
      <c r="C33" s="57">
        <f>C31/C32</f>
        <v>-6322306.6593424082</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j2bGYh/JhCu6kuO7AQGBN8zXfSFufLNcyJX8GnZ1ZHXMrShh7eydpj0R390oAWSECnC+3VRcs+T+8T/x+NDHwQ==" saltValue="+H3beW8G17vBefRw9pcLp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M1+gdVv1B786y4aFojfoDHuCPV0gkmHFfbAezDXNElsb42Aa1RPhpLIGpLvCH5aPq/0/6jBjm1RoHHQgzvWqw==" saltValue="2LHRkz8JFQK3m2M8NvewL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215</v>
      </c>
      <c r="C9" s="7">
        <v>782260.53411312541</v>
      </c>
      <c r="D9" s="8" t="s">
        <v>3</v>
      </c>
      <c r="E9" s="1"/>
    </row>
    <row r="10" spans="1:5" ht="14.25" customHeight="1" x14ac:dyDescent="0.25">
      <c r="A10" s="1"/>
      <c r="B10" s="65" t="s">
        <v>172</v>
      </c>
      <c r="C10" s="7">
        <v>0</v>
      </c>
      <c r="D10" s="8" t="s">
        <v>3</v>
      </c>
      <c r="E10" s="1"/>
    </row>
    <row r="11" spans="1:5" ht="14.25" customHeight="1" x14ac:dyDescent="0.25">
      <c r="A11" s="1"/>
      <c r="B11" s="82" t="s">
        <v>48</v>
      </c>
      <c r="C11" s="10">
        <f>C10-C9</f>
        <v>-782260.53411312541</v>
      </c>
      <c r="D11" s="11" t="s">
        <v>3</v>
      </c>
      <c r="E11" s="1"/>
    </row>
    <row r="12" spans="1:5" ht="14.25" customHeight="1" x14ac:dyDescent="0.25">
      <c r="A12" s="1"/>
      <c r="B12" s="108" t="s">
        <v>217</v>
      </c>
      <c r="C12" s="109"/>
      <c r="D12" s="110"/>
      <c r="E12" s="1"/>
    </row>
    <row r="13" spans="1:5" ht="26.25" x14ac:dyDescent="0.25">
      <c r="A13" s="1"/>
      <c r="B13" s="79" t="s">
        <v>216</v>
      </c>
      <c r="C13" s="7">
        <v>18122477</v>
      </c>
      <c r="D13" s="8" t="s">
        <v>3</v>
      </c>
      <c r="E13" s="1"/>
    </row>
    <row r="14" spans="1:5" ht="14.25" customHeight="1" x14ac:dyDescent="0.25">
      <c r="A14" s="1"/>
      <c r="B14" s="65" t="s">
        <v>173</v>
      </c>
      <c r="C14" s="7">
        <v>5555314</v>
      </c>
      <c r="D14" s="8" t="s">
        <v>3</v>
      </c>
      <c r="E14" s="1"/>
    </row>
    <row r="15" spans="1:5" ht="14.25" customHeight="1" x14ac:dyDescent="0.25">
      <c r="A15" s="1"/>
      <c r="B15" s="82" t="s">
        <v>48</v>
      </c>
      <c r="C15" s="10">
        <f>C14-C13</f>
        <v>-12567163</v>
      </c>
      <c r="D15" s="11" t="s">
        <v>3</v>
      </c>
      <c r="E15" s="1"/>
    </row>
    <row r="16" spans="1:5" ht="14.25" customHeight="1" x14ac:dyDescent="0.25">
      <c r="A16" s="1"/>
      <c r="B16" s="33" t="s">
        <v>174</v>
      </c>
      <c r="C16" s="12">
        <f>C11+C15</f>
        <v>-13349423.534113126</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HJoB8wfgiBwOnx2vzihekhqlZ8HSZnDjMJEd+oYvaSX4FleYJXU3VOWewMGhdPTxapHRZZPvZ3CwW/WMrvnxVQ==" saltValue="TxupFqvOF6ssCNXBdnmIe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AzsHUZJia+kYuMCD0wcz/PX0FMot5umS4fmliUnW4SGTHek9Qt2mF16Q1hQ1iTq7XTjHObPILHAKNQyJp7Za9A==" saltValue="wSBoFC7OpK0KkCn0hO1EX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62"/>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231</v>
      </c>
      <c r="C11" s="21">
        <v>0</v>
      </c>
      <c r="D11" s="14" t="s">
        <v>3</v>
      </c>
      <c r="E11" s="9">
        <v>57396</v>
      </c>
      <c r="F11" s="14" t="s">
        <v>3</v>
      </c>
      <c r="G11" s="1"/>
    </row>
    <row r="12" spans="1:7" x14ac:dyDescent="0.25">
      <c r="A12" s="1"/>
      <c r="B12" s="24" t="s">
        <v>232</v>
      </c>
      <c r="C12" s="21">
        <v>158459</v>
      </c>
      <c r="D12" s="14" t="s">
        <v>3</v>
      </c>
      <c r="E12" s="9">
        <v>0</v>
      </c>
      <c r="F12" s="14" t="s">
        <v>3</v>
      </c>
      <c r="G12" s="1"/>
    </row>
    <row r="13" spans="1:7" x14ac:dyDescent="0.25">
      <c r="A13" s="1"/>
      <c r="B13" s="24" t="s">
        <v>233</v>
      </c>
      <c r="C13" s="21">
        <v>0</v>
      </c>
      <c r="D13" s="14" t="s">
        <v>3</v>
      </c>
      <c r="E13" s="9">
        <v>1510</v>
      </c>
      <c r="F13" s="14" t="s">
        <v>3</v>
      </c>
      <c r="G13" s="1"/>
    </row>
    <row r="14" spans="1:7" x14ac:dyDescent="0.25">
      <c r="A14" s="1"/>
      <c r="B14" s="24" t="s">
        <v>234</v>
      </c>
      <c r="C14" s="21">
        <v>0</v>
      </c>
      <c r="D14" s="14" t="s">
        <v>3</v>
      </c>
      <c r="E14" s="9">
        <v>422066</v>
      </c>
      <c r="F14" s="14" t="s">
        <v>3</v>
      </c>
      <c r="G14" s="1"/>
    </row>
    <row r="15" spans="1:7" x14ac:dyDescent="0.25">
      <c r="A15" s="1"/>
      <c r="B15" s="24" t="s">
        <v>235</v>
      </c>
      <c r="C15" s="21">
        <v>0</v>
      </c>
      <c r="D15" s="14" t="s">
        <v>3</v>
      </c>
      <c r="E15" s="9">
        <v>27984</v>
      </c>
      <c r="F15" s="14" t="s">
        <v>3</v>
      </c>
      <c r="G15" s="1"/>
    </row>
    <row r="16" spans="1:7" x14ac:dyDescent="0.25">
      <c r="A16" s="1"/>
      <c r="B16" s="24" t="s">
        <v>236</v>
      </c>
      <c r="C16" s="21">
        <v>0</v>
      </c>
      <c r="D16" s="14" t="s">
        <v>3</v>
      </c>
      <c r="E16" s="9">
        <v>531968</v>
      </c>
      <c r="F16" s="14" t="s">
        <v>3</v>
      </c>
      <c r="G16" s="1"/>
    </row>
    <row r="17" spans="1:7" x14ac:dyDescent="0.25">
      <c r="A17" s="1"/>
      <c r="B17" s="24" t="s">
        <v>237</v>
      </c>
      <c r="C17" s="21">
        <v>0</v>
      </c>
      <c r="D17" s="14" t="s">
        <v>3</v>
      </c>
      <c r="E17" s="9">
        <v>268645</v>
      </c>
      <c r="F17" s="14" t="s">
        <v>3</v>
      </c>
      <c r="G17" s="1"/>
    </row>
    <row r="18" spans="1:7" x14ac:dyDescent="0.25">
      <c r="A18" s="1"/>
      <c r="B18" s="24" t="s">
        <v>238</v>
      </c>
      <c r="C18" s="21">
        <v>0</v>
      </c>
      <c r="D18" s="14" t="s">
        <v>3</v>
      </c>
      <c r="E18" s="9">
        <v>1850</v>
      </c>
      <c r="F18" s="14" t="s">
        <v>3</v>
      </c>
      <c r="G18" s="1"/>
    </row>
    <row r="19" spans="1:7" x14ac:dyDescent="0.25">
      <c r="A19" s="1"/>
      <c r="B19" s="24" t="s">
        <v>239</v>
      </c>
      <c r="C19" s="21">
        <v>0</v>
      </c>
      <c r="D19" s="14" t="s">
        <v>3</v>
      </c>
      <c r="E19" s="9">
        <v>3580</v>
      </c>
      <c r="F19" s="14" t="s">
        <v>3</v>
      </c>
      <c r="G19" s="1"/>
    </row>
    <row r="20" spans="1:7" x14ac:dyDescent="0.25">
      <c r="A20" s="1"/>
      <c r="B20" s="24" t="s">
        <v>240</v>
      </c>
      <c r="C20" s="21">
        <v>0</v>
      </c>
      <c r="D20" s="14" t="s">
        <v>3</v>
      </c>
      <c r="E20" s="9">
        <v>1718667</v>
      </c>
      <c r="F20" s="14" t="s">
        <v>3</v>
      </c>
      <c r="G20" s="1"/>
    </row>
    <row r="21" spans="1:7" x14ac:dyDescent="0.25">
      <c r="A21" s="1"/>
      <c r="B21" s="24" t="s">
        <v>241</v>
      </c>
      <c r="C21" s="21">
        <v>0</v>
      </c>
      <c r="D21" s="14" t="s">
        <v>3</v>
      </c>
      <c r="E21" s="9">
        <v>2702</v>
      </c>
      <c r="F21" s="14" t="s">
        <v>3</v>
      </c>
      <c r="G21" s="1"/>
    </row>
    <row r="22" spans="1:7" x14ac:dyDescent="0.25">
      <c r="A22" s="1"/>
      <c r="B22" s="24" t="s">
        <v>242</v>
      </c>
      <c r="C22" s="21">
        <v>0</v>
      </c>
      <c r="D22" s="14" t="s">
        <v>3</v>
      </c>
      <c r="E22" s="9">
        <v>1033</v>
      </c>
      <c r="F22" s="14" t="s">
        <v>3</v>
      </c>
      <c r="G22" s="1"/>
    </row>
    <row r="23" spans="1:7" x14ac:dyDescent="0.25">
      <c r="A23" s="1"/>
      <c r="B23" s="24" t="s">
        <v>243</v>
      </c>
      <c r="C23" s="21">
        <v>0</v>
      </c>
      <c r="D23" s="14" t="s">
        <v>3</v>
      </c>
      <c r="E23" s="9">
        <v>17548</v>
      </c>
      <c r="F23" s="14" t="s">
        <v>3</v>
      </c>
      <c r="G23" s="1"/>
    </row>
    <row r="24" spans="1:7" x14ac:dyDescent="0.25">
      <c r="A24" s="1"/>
      <c r="B24" s="24" t="s">
        <v>244</v>
      </c>
      <c r="C24" s="21">
        <v>0</v>
      </c>
      <c r="D24" s="14" t="s">
        <v>3</v>
      </c>
      <c r="E24" s="9">
        <v>543809</v>
      </c>
      <c r="F24" s="14" t="s">
        <v>3</v>
      </c>
      <c r="G24" s="1"/>
    </row>
    <row r="25" spans="1:7" x14ac:dyDescent="0.25">
      <c r="A25" s="1"/>
      <c r="B25" s="24" t="s">
        <v>245</v>
      </c>
      <c r="C25" s="21">
        <v>0</v>
      </c>
      <c r="D25" s="14" t="s">
        <v>3</v>
      </c>
      <c r="E25" s="9">
        <v>12189</v>
      </c>
      <c r="F25" s="14" t="s">
        <v>3</v>
      </c>
      <c r="G25" s="1"/>
    </row>
    <row r="26" spans="1:7" x14ac:dyDescent="0.25">
      <c r="A26" s="1"/>
      <c r="B26" s="24" t="s">
        <v>246</v>
      </c>
      <c r="C26" s="21">
        <v>0</v>
      </c>
      <c r="D26" s="14" t="s">
        <v>3</v>
      </c>
      <c r="E26" s="9">
        <v>2580</v>
      </c>
      <c r="F26" s="14" t="s">
        <v>3</v>
      </c>
      <c r="G26" s="1"/>
    </row>
    <row r="27" spans="1:7" x14ac:dyDescent="0.25">
      <c r="A27" s="1"/>
      <c r="B27" s="24" t="s">
        <v>247</v>
      </c>
      <c r="C27" s="21">
        <v>2296270</v>
      </c>
      <c r="D27" s="14" t="s">
        <v>3</v>
      </c>
      <c r="E27" s="9">
        <v>0</v>
      </c>
      <c r="F27" s="14" t="s">
        <v>3</v>
      </c>
      <c r="G27" s="1"/>
    </row>
    <row r="28" spans="1:7" x14ac:dyDescent="0.25">
      <c r="A28" s="1"/>
      <c r="B28" s="24" t="s">
        <v>251</v>
      </c>
      <c r="C28" s="21">
        <v>0</v>
      </c>
      <c r="D28" s="14" t="s">
        <v>3</v>
      </c>
      <c r="E28" s="9">
        <v>68477</v>
      </c>
      <c r="F28" s="14" t="s">
        <v>3</v>
      </c>
      <c r="G28" s="1"/>
    </row>
    <row r="29" spans="1:7" x14ac:dyDescent="0.25">
      <c r="A29" s="1"/>
      <c r="B29" s="24" t="s">
        <v>252</v>
      </c>
      <c r="C29" s="9">
        <v>0</v>
      </c>
      <c r="D29" s="14" t="s">
        <v>3</v>
      </c>
      <c r="E29" s="9">
        <v>7828</v>
      </c>
      <c r="F29" s="14" t="s">
        <v>3</v>
      </c>
      <c r="G29" s="1"/>
    </row>
    <row r="30" spans="1:7" x14ac:dyDescent="0.25">
      <c r="A30" s="1"/>
      <c r="B30" s="24"/>
      <c r="C30" s="21"/>
      <c r="D30" s="14" t="s">
        <v>3</v>
      </c>
      <c r="E30" s="9"/>
      <c r="F30" s="14" t="s">
        <v>3</v>
      </c>
      <c r="G30" s="1"/>
    </row>
    <row r="31" spans="1:7" x14ac:dyDescent="0.25">
      <c r="A31" s="1"/>
      <c r="B31" s="24"/>
      <c r="C31" s="21"/>
      <c r="D31" s="14" t="s">
        <v>3</v>
      </c>
      <c r="E31" s="9"/>
      <c r="F31" s="14" t="s">
        <v>3</v>
      </c>
      <c r="G31" s="1"/>
    </row>
    <row r="32" spans="1:7" x14ac:dyDescent="0.25">
      <c r="A32" s="1"/>
      <c r="B32" s="33" t="s">
        <v>139</v>
      </c>
      <c r="C32" s="12">
        <f>SUM(C10:C31)</f>
        <v>2454729</v>
      </c>
      <c r="D32" s="13" t="s">
        <v>3</v>
      </c>
      <c r="E32" s="12">
        <f>SUM(E10:E31)</f>
        <v>3689832</v>
      </c>
      <c r="F32" s="13" t="s">
        <v>3</v>
      </c>
      <c r="G32" s="1"/>
    </row>
    <row r="33" spans="1:7" x14ac:dyDescent="0.25">
      <c r="A33" s="1"/>
      <c r="B33" s="33" t="s">
        <v>175</v>
      </c>
      <c r="C33" s="12">
        <f>C32*(1+'Fane 15. Nøgletal'!C10)</f>
        <v>2617477.5326999999</v>
      </c>
      <c r="D33" s="13" t="s">
        <v>3</v>
      </c>
      <c r="E33" s="12">
        <f>E32*(1+'Fane 15. Nøgletal'!C10)</f>
        <v>3934467.8615999999</v>
      </c>
      <c r="F33" s="13" t="s">
        <v>3</v>
      </c>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sheetData>
  <sheetProtection algorithmName="SHA-512" hashValue="zrxEM7h9mkSBE4hUS19WXOOoXGnqd36OLQ/byc+zacydrP1xwAWhaYyR2rytQWmhS91atreSXMuGyNZJP95yEw==" saltValue="TbSA13Srk5xF5941WkOJW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248</v>
      </c>
      <c r="C10" s="21">
        <v>2045755</v>
      </c>
      <c r="D10" s="14" t="s">
        <v>3</v>
      </c>
      <c r="E10" s="9">
        <v>0</v>
      </c>
      <c r="F10" s="14" t="s">
        <v>3</v>
      </c>
      <c r="G10" s="1"/>
    </row>
    <row r="11" spans="1:7" x14ac:dyDescent="0.25">
      <c r="A11" s="1"/>
      <c r="B11" s="24" t="s">
        <v>249</v>
      </c>
      <c r="C11" s="21">
        <v>91596</v>
      </c>
      <c r="D11" s="14" t="s">
        <v>3</v>
      </c>
      <c r="E11" s="9">
        <v>0</v>
      </c>
      <c r="F11" s="14" t="s">
        <v>3</v>
      </c>
      <c r="G11" s="1"/>
    </row>
    <row r="12" spans="1:7" x14ac:dyDescent="0.25">
      <c r="A12" s="1"/>
      <c r="B12" s="24"/>
      <c r="C12" s="21"/>
      <c r="D12" s="14" t="s">
        <v>3</v>
      </c>
      <c r="E12" s="9"/>
      <c r="F12" s="14" t="s">
        <v>3</v>
      </c>
      <c r="G12" s="1"/>
    </row>
    <row r="13" spans="1:7" x14ac:dyDescent="0.25">
      <c r="A13" s="1"/>
      <c r="B13" s="33" t="s">
        <v>177</v>
      </c>
      <c r="C13" s="12">
        <f>SUM(C10:C12)</f>
        <v>2137351</v>
      </c>
      <c r="D13" s="13" t="s">
        <v>3</v>
      </c>
      <c r="E13" s="12">
        <f>SUM(E10:E12)</f>
        <v>0</v>
      </c>
      <c r="F13" s="13" t="s">
        <v>3</v>
      </c>
      <c r="G13" s="1"/>
    </row>
    <row r="14" spans="1:7" x14ac:dyDescent="0.25">
      <c r="A14" s="1"/>
      <c r="B14" s="33" t="s">
        <v>178</v>
      </c>
      <c r="C14" s="12">
        <f>C13*(1+'Fane 15. Nøgletal'!C10)^2</f>
        <v>2430158.8750171899</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253086O+UZCLibeYnh4SEIQKDT01R9NqmP0gbxb4cig9R/4DH3lCgw/rlC/NKy62QjGCIAMars0UYbmWhfEqg==" saltValue="qagDtUztARuZpMvf406oO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f>5437921.4340146*(1+'Fane 15. Nøgletal'!C9)</f>
        <v>5877305.4858829789</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-117546.10971765958</v>
      </c>
      <c r="D11" s="14" t="s">
        <v>3</v>
      </c>
      <c r="E11" s="1"/>
    </row>
    <row r="12" spans="1:5" x14ac:dyDescent="0.25">
      <c r="A12" s="1"/>
      <c r="B12" s="76" t="s">
        <v>74</v>
      </c>
      <c r="C12" s="12">
        <f>SUM(C9:C11)*(1+'Fane 15. Nøgletal'!C9)^2</f>
        <v>6728139.8868072424</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5631511.4370655222</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-112630.22874131045</v>
      </c>
      <c r="D17" s="14" t="s">
        <v>3</v>
      </c>
      <c r="E17" s="1"/>
    </row>
    <row r="18" spans="1:5" x14ac:dyDescent="0.25">
      <c r="A18" s="1"/>
      <c r="B18" s="76" t="s">
        <v>85</v>
      </c>
      <c r="C18" s="12">
        <f>SUM(C15:C17)*(1+'Fane 15. Nøgletal'!C10)^3</f>
        <v>6690972.9444649843</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5631511.4370655222</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-112630.22874131045</v>
      </c>
      <c r="D23" s="14" t="s">
        <v>3</v>
      </c>
      <c r="E23" s="1"/>
    </row>
    <row r="24" spans="1:5" x14ac:dyDescent="0.25">
      <c r="A24" s="1"/>
      <c r="B24" s="76" t="s">
        <v>141</v>
      </c>
      <c r="C24" s="12">
        <f>SUM(C21:C23)*(1+'Fane 15. Nøgletal'!C10)^4</f>
        <v>7134584.4506830117</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5631511.4370655222</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-112630.22874131045</v>
      </c>
      <c r="D29" s="14" t="s">
        <v>3</v>
      </c>
      <c r="E29" s="1"/>
    </row>
    <row r="30" spans="1:5" x14ac:dyDescent="0.25">
      <c r="A30" s="1"/>
      <c r="B30" s="76" t="s">
        <v>181</v>
      </c>
      <c r="C30" s="12">
        <f>SUM(C27:C29)*(1+'Fane 15. Nøgletal'!C10)^5</f>
        <v>7607607.3997632964</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LlVtekInTRDCbRXtMNoztQ5EnnC4S3rbr2bds+6w6xc5mgUQ8oXdpwaatt0vFj4HRVKChmkf9xje3g/A+SbCdA==" saltValue="i7jIQVU2dk1CFiISIqWVF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fJIMotjCzh7XBqgYqrOT2J0tEtwBqggVYCsNJMnlC1hDIrlpkGELiI2FtsNeeCrIr87RH0Tk2VKnhUFpxv/CDw==" saltValue="rkI0z/O43/RbblwQPPf5M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ImbJoMa428ja7EnKTTwSw287q/LQJzglLljJqnvwWSOIq8xcBkOoT1kkNpyruP9kUwlT4KlGPPM4+SvRDfg/Q==" saltValue="uba07OO0rGyehx4493zTM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309389079.99900109</v>
      </c>
      <c r="D9" s="8" t="s">
        <v>3</v>
      </c>
      <c r="E9" s="1"/>
    </row>
    <row r="10" spans="1:5" ht="17.25" customHeight="1" x14ac:dyDescent="0.25">
      <c r="A10" s="1"/>
      <c r="B10" s="64" t="s">
        <v>35</v>
      </c>
      <c r="C10" s="7">
        <f>'Fane 11.1. Varige tillæg'!C33</f>
        <v>2617477.5326999999</v>
      </c>
      <c r="D10" s="8" t="s">
        <v>3</v>
      </c>
      <c r="E10" s="1"/>
    </row>
    <row r="11" spans="1:5" ht="17.25" customHeight="1" x14ac:dyDescent="0.25">
      <c r="A11" s="1"/>
      <c r="B11" s="64" t="s">
        <v>36</v>
      </c>
      <c r="C11" s="9">
        <f>'Fane 11.1. Varige tillæg'!E33</f>
        <v>3934467.8615999999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25433031.643561374</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-2778420.0960262832</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338595636.94083613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omk.'!C23+'Fane 6. Ikke-påvirkelige omk.'!C27+'Fane 6. Ikke-påvirkelige omk.'!C35</f>
        <v>317364017.34787834</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6728139.8868072424</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2430158.8750171899</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-48603.177500343802</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2381555.697516846</v>
      </c>
      <c r="D30" s="11" t="s">
        <v>3</v>
      </c>
      <c r="E30" s="1"/>
    </row>
    <row r="31" spans="1:5" x14ac:dyDescent="0.25">
      <c r="A31" s="1"/>
      <c r="B31" s="33" t="s">
        <v>69</v>
      </c>
      <c r="C31" s="28"/>
      <c r="D31" s="19"/>
      <c r="E31" s="1"/>
    </row>
    <row r="32" spans="1:5" x14ac:dyDescent="0.25">
      <c r="A32" s="1"/>
      <c r="B32" s="31" t="s">
        <v>79</v>
      </c>
      <c r="C32" s="62">
        <f>'Fane 7. Kontrol af ØR2023'!C27</f>
        <v>-16472756</v>
      </c>
      <c r="D32" s="11" t="s">
        <v>3</v>
      </c>
      <c r="E32" s="1"/>
    </row>
    <row r="33" spans="1:5" ht="15" customHeight="1" x14ac:dyDescent="0.25">
      <c r="A33" s="1"/>
      <c r="B33" s="33" t="s">
        <v>154</v>
      </c>
      <c r="C33" s="28"/>
      <c r="D33" s="19"/>
      <c r="E33" s="1"/>
    </row>
    <row r="34" spans="1:5" x14ac:dyDescent="0.25">
      <c r="A34" s="1"/>
      <c r="B34" s="31" t="s">
        <v>154</v>
      </c>
      <c r="C34" s="10">
        <f>'Fane 9. Korrektion af ØR2023'!C16</f>
        <v>-13349423.534113126</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635247170.33892536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fOqgxb4g5pixIfXXUtdOzDuWK/Lsu+wv7vwcHjfo1za6R74RhXZwVC2vNBYtc/ielBuRIK6Uz321ewrJtcGd5w==" saltValue="pmnptVVCfPDinRv6fl46t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OMhCSXZp6v0lq5wGrGi2gkn3jxxfmEwcu46hwLuXMngl2jTc1huixzFj43iDjAGwx+EjIXVQ4ob5ozyNlQtt6A==" saltValue="Go6iPB8d899P9IAatrkNj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338595636.94083613</v>
      </c>
      <c r="D9" s="8" t="s">
        <v>3</v>
      </c>
      <c r="E9" s="1"/>
    </row>
    <row r="10" spans="1:5" ht="15" customHeight="1" x14ac:dyDescent="0.25">
      <c r="A10" s="1"/>
      <c r="B10" s="26" t="s">
        <v>19</v>
      </c>
      <c r="C10" s="7">
        <f>C9*'Fane 15. Nøgletal'!C10</f>
        <v>22448890.729177434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-2903376.7614249694</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358141150.90858859</v>
      </c>
      <c r="D14" s="11" t="s">
        <v>3</v>
      </c>
      <c r="E14" s="1"/>
    </row>
    <row r="15" spans="1:5" x14ac:dyDescent="0.25">
      <c r="A15" s="1"/>
      <c r="B15" s="33" t="s">
        <v>12</v>
      </c>
      <c r="C15" s="28"/>
      <c r="D15" s="19"/>
      <c r="E15" s="1"/>
    </row>
    <row r="16" spans="1:5" ht="15" customHeight="1" x14ac:dyDescent="0.25">
      <c r="A16" s="1"/>
      <c r="B16" s="31" t="s">
        <v>12</v>
      </c>
      <c r="C16" s="10">
        <f>'Fane 6. Ikke-påvirkelige omk.'!C23*(1+'Fane 15. Nøgletal'!C10)+'Fane 6. Ikke-påvirkelige omk.'!C28+'Fane 6. Ikke-påvirkelige omk.'!C36</f>
        <v>337118657.9229427</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6690972.9444649843</v>
      </c>
      <c r="D18" s="11" t="s">
        <v>3</v>
      </c>
      <c r="E18" s="1"/>
    </row>
    <row r="19" spans="1:5" x14ac:dyDescent="0.25">
      <c r="A19" s="1"/>
      <c r="B19" s="33" t="s">
        <v>69</v>
      </c>
      <c r="C19" s="28"/>
      <c r="D19" s="19"/>
      <c r="E19" s="1"/>
    </row>
    <row r="20" spans="1:5" ht="15" customHeight="1" x14ac:dyDescent="0.25">
      <c r="A20" s="1"/>
      <c r="B20" s="31" t="s">
        <v>79</v>
      </c>
      <c r="C20" s="10">
        <f>'Fane 7. Kontrol af ØR2023'!C33</f>
        <v>-6322306.6593424082</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695628475.11665392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DJxx1IMsH2uwTBNx4Jy+PKgS8QQDfvHkIb7yQLnB5iWl363R2gynWtAJqIAa8pI2J10uNAAG0H/nxRKPPe4UQ==" saltValue="iac5y/s/fE/7Vzs2OgOIv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358141150.90858859</v>
      </c>
      <c r="D9" s="8" t="s">
        <v>3</v>
      </c>
      <c r="E9" s="1"/>
    </row>
    <row r="10" spans="1:5" ht="15" customHeight="1" x14ac:dyDescent="0.25">
      <c r="A10" s="1"/>
      <c r="B10" s="26" t="s">
        <v>19</v>
      </c>
      <c r="C10" s="7">
        <f>SUM(C9:C9)*'Fane 15. Nøgletal'!C10</f>
        <v>23744758.305239424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-3033953.2278932966</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378851955.98593473</v>
      </c>
      <c r="D14" s="11" t="s">
        <v>3</v>
      </c>
      <c r="E14" s="1"/>
    </row>
    <row r="15" spans="1:5" x14ac:dyDescent="0.25">
      <c r="A15" s="1"/>
      <c r="B15" s="33" t="s">
        <v>12</v>
      </c>
      <c r="C15" s="28"/>
      <c r="D15" s="19"/>
      <c r="E15" s="1"/>
    </row>
    <row r="16" spans="1:5" ht="15" customHeight="1" x14ac:dyDescent="0.25">
      <c r="A16" s="1"/>
      <c r="B16" s="31" t="s">
        <v>12</v>
      </c>
      <c r="C16" s="10">
        <f>'Fane 6. Ikke-påvirkelige omk.'!C23*(1+'Fane 15. Nøgletal'!C10)^2+'Fane 6. Ikke-påvirkelige omk.'!C29+'Fane 6. Ikke-påvirkelige omk.'!C37</f>
        <v>358311879.23293376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7134584.4506830117</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-6322306.6593424082</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737976113.01020908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qWnP4eXERDk107b7AQ0HyNQp3Rsdcr6Dp56Qyr0ugl3hORuZwacJGhqDWVIrWJZkyR1oZwYXzY0v/idVcOuVA==" saltValue="DztxI75gRljp+QlkPiCwR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378851955.98593473</v>
      </c>
      <c r="D9" s="8" t="s">
        <v>3</v>
      </c>
      <c r="E9" s="1"/>
    </row>
    <row r="10" spans="1:5" ht="15" customHeight="1" x14ac:dyDescent="0.25">
      <c r="A10" s="1"/>
      <c r="B10" s="26" t="s">
        <v>19</v>
      </c>
      <c r="C10" s="7">
        <f>SUM(C9:C9)*'Fane 15. Nøgletal'!C10</f>
        <v>25117884.681867473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-3170402.2403645702</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400799438.42743766</v>
      </c>
      <c r="D14" s="11" t="s">
        <v>3</v>
      </c>
      <c r="E14" s="1"/>
    </row>
    <row r="15" spans="1:5" x14ac:dyDescent="0.25">
      <c r="A15" s="1"/>
      <c r="B15" s="33" t="s">
        <v>12</v>
      </c>
      <c r="C15" s="28"/>
      <c r="D15" s="19"/>
      <c r="E15" s="1"/>
    </row>
    <row r="16" spans="1:5" ht="15" customHeight="1" x14ac:dyDescent="0.25">
      <c r="A16" s="1"/>
      <c r="B16" s="31" t="s">
        <v>12</v>
      </c>
      <c r="C16" s="10">
        <f>'Fane 6. Ikke-påvirkelige omk.'!C23*(1+'Fane 15. Nøgletal'!C10)^3+'Fane 6. Ikke-påvirkelige omk.'!C30+'Fane 6. Ikke-påvirkelige omk.'!C38</f>
        <v>380909062.14917731</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7607607.3997632964</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789316107.97637832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1oD/CYFh0pBuK5RVGmP7dyq9ZzFTkRf/b4/wWyj4lCCc8Adar876ii7pRPMhozVb1vraNps9vr0XWpf76qq3Q==" saltValue="9A6mZSWerNMmUtAz7McBp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279663213.48917949</v>
      </c>
      <c r="D9" s="8" t="s">
        <v>3</v>
      </c>
      <c r="E9" s="1"/>
    </row>
    <row r="10" spans="1:5" ht="15" customHeight="1" x14ac:dyDescent="0.25">
      <c r="A10" s="1"/>
      <c r="B10" s="64" t="s">
        <v>35</v>
      </c>
      <c r="C10" s="7">
        <v>2989493.8807999999</v>
      </c>
      <c r="D10" s="8" t="s">
        <v>3</v>
      </c>
      <c r="E10" s="1"/>
    </row>
    <row r="11" spans="1:5" ht="15" customHeight="1" x14ac:dyDescent="0.25">
      <c r="A11" s="1"/>
      <c r="B11" s="64" t="s">
        <v>36</v>
      </c>
      <c r="C11" s="9">
        <v>5984921.3536</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23321920.40086522</v>
      </c>
      <c r="D16" s="8" t="s">
        <v>3</v>
      </c>
      <c r="E16" s="1"/>
    </row>
    <row r="17" spans="1:5" ht="15" customHeight="1" x14ac:dyDescent="0.25">
      <c r="A17" s="1"/>
      <c r="B17" s="64" t="s">
        <v>10</v>
      </c>
      <c r="C17" s="38">
        <v>0</v>
      </c>
      <c r="D17" s="8" t="s">
        <v>3</v>
      </c>
      <c r="E17" s="1"/>
    </row>
    <row r="18" spans="1:5" ht="15" customHeight="1" x14ac:dyDescent="0.25">
      <c r="A18" s="1"/>
      <c r="B18" s="64" t="s">
        <v>22</v>
      </c>
      <c r="C18" s="38">
        <v>-2570469.1254436653</v>
      </c>
      <c r="D18" s="8" t="s">
        <v>3</v>
      </c>
      <c r="E18" s="1"/>
    </row>
    <row r="19" spans="1:5" ht="15" customHeight="1" x14ac:dyDescent="0.25">
      <c r="A19" s="1"/>
      <c r="B19" s="64" t="s">
        <v>23</v>
      </c>
      <c r="C19" s="38">
        <v>0</v>
      </c>
      <c r="D19" s="8" t="s">
        <v>3</v>
      </c>
      <c r="E19" s="43"/>
    </row>
    <row r="20" spans="1:5" ht="15" customHeight="1" x14ac:dyDescent="0.25">
      <c r="A20" s="1"/>
      <c r="B20" s="82" t="s">
        <v>21</v>
      </c>
      <c r="C20" s="10">
        <v>309389079.99900109</v>
      </c>
      <c r="D20" s="11" t="s">
        <v>3</v>
      </c>
      <c r="E20" s="1"/>
    </row>
    <row r="21" spans="1:5" ht="15" customHeight="1" x14ac:dyDescent="0.25">
      <c r="A21" s="1"/>
      <c r="B21" s="33" t="s">
        <v>12</v>
      </c>
      <c r="C21" s="28"/>
      <c r="D21" s="19"/>
      <c r="E21" s="1"/>
    </row>
    <row r="22" spans="1:5" ht="15" customHeight="1" x14ac:dyDescent="0.25">
      <c r="A22" s="1"/>
      <c r="B22" s="31" t="s">
        <v>12</v>
      </c>
      <c r="C22" s="10">
        <v>348204680.47806847</v>
      </c>
      <c r="D22" s="11" t="s">
        <v>3</v>
      </c>
      <c r="E22" s="1"/>
    </row>
    <row r="23" spans="1:5" ht="15" customHeight="1" x14ac:dyDescent="0.25">
      <c r="A23" s="1"/>
      <c r="B23" s="33" t="s">
        <v>42</v>
      </c>
      <c r="C23" s="28"/>
      <c r="D23" s="19"/>
      <c r="E23" s="1"/>
    </row>
    <row r="24" spans="1:5" ht="15" customHeight="1" x14ac:dyDescent="0.25">
      <c r="A24" s="1"/>
      <c r="B24" s="82" t="s">
        <v>42</v>
      </c>
      <c r="C24" s="10">
        <v>6225147.9337594789</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-16472756</v>
      </c>
      <c r="D32" s="11" t="s">
        <v>3</v>
      </c>
      <c r="E32" s="1"/>
    </row>
    <row r="33" spans="1:5" x14ac:dyDescent="0.25">
      <c r="A33" s="1"/>
      <c r="B33" s="33" t="s">
        <v>128</v>
      </c>
      <c r="C33" s="28"/>
      <c r="D33" s="19"/>
      <c r="E33" s="1"/>
    </row>
    <row r="34" spans="1:5" ht="15.4" customHeight="1" x14ac:dyDescent="0.25">
      <c r="A34" s="1"/>
      <c r="B34" s="31" t="s">
        <v>128</v>
      </c>
      <c r="C34" s="10">
        <v>-19780985.224080764</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627565167.18674827</v>
      </c>
      <c r="D37" s="30" t="s">
        <v>3</v>
      </c>
      <c r="E37" s="1"/>
    </row>
    <row r="38" spans="1:5" ht="30" customHeight="1" x14ac:dyDescent="0.25">
      <c r="A38" s="1"/>
      <c r="B38" s="107" t="s">
        <v>223</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qCw87iaGooZqiBK9pd0bI4YBs4u6QwxumUJhzEZoT5aJ83/n/sm44TR3Pv6O+s17ghSjaF9bxILHsCgdPHqvsA==" saltValue="WbAL0DBIMqScxCUD5Bd4Z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125292411.28581461</v>
      </c>
      <c r="D9" s="14" t="s">
        <v>3</v>
      </c>
      <c r="E9" s="1"/>
    </row>
    <row r="10" spans="1:5" x14ac:dyDescent="0.25">
      <c r="A10" s="1"/>
      <c r="B10" s="65" t="s">
        <v>125</v>
      </c>
      <c r="C10" s="23">
        <f>('Fane 3. Omkostninger i ØR2024'!C10+'Fane 3. Omkostninger i ØR2024'!C12+'Fane 3. Omkostninger i ØR2024'!C14)*(1+'Fane 15. Nøgletal'!C9)</f>
        <v>3231044.9863686399</v>
      </c>
      <c r="D10" s="14" t="s">
        <v>3</v>
      </c>
      <c r="E10" s="1"/>
    </row>
    <row r="11" spans="1:5" x14ac:dyDescent="0.25">
      <c r="A11" s="1"/>
      <c r="B11" s="65" t="s">
        <v>131</v>
      </c>
      <c r="C11" s="23">
        <f>C9*'Fane 15. Nøgletal'!C21+C10*'Fane 15. Nøgletal'!C21</f>
        <v>2570469.1254436653</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136129988.50819615</v>
      </c>
      <c r="D15" s="14" t="s">
        <v>3</v>
      </c>
      <c r="E15" s="1"/>
    </row>
    <row r="16" spans="1:5" x14ac:dyDescent="0.25">
      <c r="A16" s="1"/>
      <c r="B16" s="65" t="s">
        <v>184</v>
      </c>
      <c r="C16" s="23">
        <f>('Fane 2.1. Økonomisk ramme 2025'!C10+'Fane 2.1. Økonomisk ramme 2025'!C12+'Fane 2.1. Økonomisk ramme 2025'!C14)*(1+'Fane 15. Nøgletal'!C10)</f>
        <v>2791016.2931180098</v>
      </c>
      <c r="D16" s="14" t="s">
        <v>3</v>
      </c>
      <c r="E16" s="1"/>
    </row>
    <row r="17" spans="1:5" x14ac:dyDescent="0.25">
      <c r="A17" s="1"/>
      <c r="B17" s="65" t="s">
        <v>132</v>
      </c>
      <c r="C17" s="23">
        <f>C15*'Fane 15. Nøgletal'!C21+C16*'Fane 15. Nøgletal'!C21</f>
        <v>2778420.0960262832</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145168838.07124847</v>
      </c>
      <c r="D21" s="14" t="s">
        <v>3</v>
      </c>
      <c r="E21" s="1"/>
    </row>
    <row r="22" spans="1:5" x14ac:dyDescent="0.25">
      <c r="A22" s="1"/>
      <c r="B22" s="65" t="s">
        <v>196</v>
      </c>
      <c r="C22" s="23">
        <f>C21*'Fane 15. Nøgletal'!C21</f>
        <v>2903376.7614249694</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151697661.39466482</v>
      </c>
      <c r="D26" s="14" t="s">
        <v>3</v>
      </c>
      <c r="E26" s="1"/>
    </row>
    <row r="27" spans="1:5" x14ac:dyDescent="0.25">
      <c r="A27" s="1"/>
      <c r="B27" s="65" t="s">
        <v>194</v>
      </c>
      <c r="C27" s="23">
        <f>C26*'Fane 15. Nøgletal'!C21</f>
        <v>3033953.2278932966</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158520112.0182285</v>
      </c>
      <c r="D31" s="14" t="s">
        <v>3</v>
      </c>
      <c r="E31" s="1"/>
    </row>
    <row r="32" spans="1:5" x14ac:dyDescent="0.25">
      <c r="A32" s="1"/>
      <c r="B32" s="65" t="s">
        <v>195</v>
      </c>
      <c r="C32" s="23">
        <f>C31*'Fane 15. Nøgletal'!C21</f>
        <v>3170402.2403645702</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lokyxjgGdgLE0/OamouQnuE38xvrL5hpOfkCBMyGA+/Q2J48klGKs9dePRwSkqzB2rJECFk4JWOftzFMjse4Q==" saltValue="FDQiUNxojTyBTTuq2dk8A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190385423.05934072</v>
      </c>
      <c r="D9" s="14" t="s">
        <v>3</v>
      </c>
      <c r="E9" s="1"/>
    </row>
    <row r="10" spans="1:5" x14ac:dyDescent="0.25">
      <c r="A10" s="1"/>
      <c r="B10" s="65" t="s">
        <v>126</v>
      </c>
      <c r="C10" s="23">
        <f>('Fane 3. Omkostninger i ØR2024'!C11+'Fane 3. Omkostninger i ØR2024'!C13+'Fane 3. Omkostninger i ØR2024'!C15)*(1+'Fane 15. Nøgletal'!C9)</f>
        <v>6468502.9989708802</v>
      </c>
      <c r="D10" s="14" t="s">
        <v>3</v>
      </c>
      <c r="E10" s="1"/>
    </row>
    <row r="11" spans="1:5" x14ac:dyDescent="0.25">
      <c r="A11" s="1"/>
      <c r="B11" s="65" t="s">
        <v>135</v>
      </c>
      <c r="C11" s="7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212759723.28382316</v>
      </c>
      <c r="D15" s="14" t="s">
        <v>3</v>
      </c>
      <c r="E15" s="1"/>
    </row>
    <row r="16" spans="1:5" x14ac:dyDescent="0.25">
      <c r="A16" s="1"/>
      <c r="B16" s="65" t="s">
        <v>185</v>
      </c>
      <c r="C16" s="23">
        <f>('Fane 2.1. Økonomisk ramme 2025'!C11+'Fane 2.1. Økonomisk ramme 2025'!C13+'Fane 2.1. Økonomisk ramme 2025'!C15)*(1+'Fane 15. Nøgletal'!C10)</f>
        <v>4195323.0808240799</v>
      </c>
      <c r="D16" s="14" t="s">
        <v>3</v>
      </c>
      <c r="E16" s="1"/>
    </row>
    <row r="17" spans="1:5" x14ac:dyDescent="0.25">
      <c r="A17" s="1"/>
      <c r="B17" s="65" t="s">
        <v>137</v>
      </c>
      <c r="C17" s="7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231339165.93862337</v>
      </c>
      <c r="D21" s="14" t="s">
        <v>3</v>
      </c>
      <c r="E21" s="1"/>
    </row>
    <row r="22" spans="1:5" x14ac:dyDescent="0.25">
      <c r="A22" s="1"/>
      <c r="B22" s="65" t="s">
        <v>197</v>
      </c>
      <c r="C22" s="7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246676952.6403541</v>
      </c>
      <c r="D26" s="14" t="s">
        <v>3</v>
      </c>
      <c r="E26" s="1"/>
    </row>
    <row r="27" spans="1:5" x14ac:dyDescent="0.25">
      <c r="A27" s="1"/>
      <c r="B27" s="65" t="s">
        <v>198</v>
      </c>
      <c r="C27" s="7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263031634.60040957</v>
      </c>
      <c r="D31" s="14" t="s">
        <v>3</v>
      </c>
      <c r="E31" s="1"/>
    </row>
    <row r="32" spans="1:5" x14ac:dyDescent="0.25">
      <c r="A32" s="1"/>
      <c r="B32" s="65" t="s">
        <v>199</v>
      </c>
      <c r="C32" s="7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F0Q//UmRrBcOCdIz48BNrzUQLO2o4WDVtS78t6APJX4CzyyOLxYSasNz/5FneprEhLRpxwsOcSQKi5jMMQi+w==" saltValue="eac6o4BpFdg1tYgY0qlSo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CfuZ3cDDIkZ0iqpFETvj3FbHbHVYn1gJw9wPPY8s6BeNnfnEBGMjI4BnuGiT39nUhSTXbk3nqpqEJdUAPBn3pA==" saltValue="vy2+0L0rD5fo/LsuyqzA3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2024-10-07T11:14:03Z</dcterms:modified>
</cp:coreProperties>
</file>