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Skive Vand AS (S086)\ØR2025\"/>
    </mc:Choice>
  </mc:AlternateContent>
  <xr:revisionPtr revIDLastSave="0" documentId="13_ncr:1_{1E9D4103-643A-4945-91F1-89B771B389C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F13" i="11" l="1"/>
  <c r="F14" i="11"/>
  <c r="F15" i="11"/>
  <c r="F12" i="11"/>
  <c r="F10" i="11"/>
  <c r="F11" i="11"/>
  <c r="C20" i="23" l="1"/>
  <c r="C23" i="43" l="1"/>
  <c r="C27" i="43" s="1"/>
  <c r="C32" i="2" s="1"/>
  <c r="J16" i="11" l="1"/>
  <c r="H16" i="11"/>
  <c r="F16" i="11" l="1"/>
  <c r="E10" i="37" s="1"/>
  <c r="C11" i="29" l="1"/>
  <c r="C10" i="36" l="1"/>
  <c r="C10" i="30"/>
  <c r="C22" i="22" l="1"/>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C10" i="37"/>
  <c r="C20" i="19"/>
  <c r="C21" i="19" s="1"/>
  <c r="C16" i="23" l="1"/>
  <c r="C16" i="15"/>
  <c r="C16" i="22"/>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26" i="37"/>
  <c r="C27" i="37" s="1"/>
  <c r="C10" i="2" l="1"/>
  <c r="C16" i="30" l="1"/>
  <c r="C17" i="30" s="1"/>
  <c r="C21" i="30" l="1"/>
  <c r="C22" i="30" s="1"/>
  <c r="C18" i="2"/>
  <c r="E26" i="37"/>
  <c r="E27"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<sst xmlns="http://schemas.openxmlformats.org/spreadsheetml/2006/main" count="601" uniqueCount="252">
  <si>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</si>
  <si>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</si>
  <si>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</si>
  <si>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</si>
  <si>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</si>
  <si>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</si>
  <si>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</si>
  <si>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</si>
  <si>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</si>
  <si>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</si>
  <si>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</si>
  <si>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</si>
  <si>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</si>
  <si>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</si>
  <si>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</si>
  <si>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</si>
  <si>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</si>
  <si>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</si>
  <si>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</si>
  <si>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</si>
  <si>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</si>
  <si>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</si>
  <si>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</si>
  <si>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</si>
  <si>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</si>
  <si>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</si>
  <si>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</si>
  <si>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</si>
  <si>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</si>
  <si>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</si>
  <si>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</si>
  <si>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</si>
  <si>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</si>
  <si>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</si>
  <si>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</si>
  <si>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</si>
  <si>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</si>
  <si>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</si>
  <si>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</si>
  <si>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</si>
  <si>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</si>
  <si>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</si>
  <si>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</si>
  <si>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</si>
  <si>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</si>
  <si>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</si>
  <si>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</si>
  <si>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</si>
  <si>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</si>
  <si>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</si>
  <si>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</si>
  <si>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</si>
  <si>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</si>
  <si>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</si>
  <si>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</si>
  <si>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</si>
  <si>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</si>
  <si>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</si>
  <si>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</si>
  <si>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</si>
  <si>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</si>
  <si>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</si>
  <si>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</si>
  <si>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</si>
  <si>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</si>
  <si>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</si>
  <si>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</si>
  <si>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</si>
  <si>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</si>
  <si>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</si>
  <si>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</si>
  <si>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</si>
  <si>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</si>
  <si>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</si>
  <si>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</si>
  <si>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</si>
  <si>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</si>
  <si>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</si>
  <si>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</si>
  <si>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</si>
  <si>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</si>
  <si>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</si>
  <si>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</si>
  <si>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</si>
  <si>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</si>
  <si>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</si>
  <si>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</si>
  <si>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</si>
  <si>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</si>
  <si>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</si>
  <si>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</si>
  <si>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</si>
  <si>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</si>
  <si>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</si>
  <si>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</si>
  <si>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</si>
  <si>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</si>
  <si>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</si>
  <si>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</si>
  <si>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</si>
  <si>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</si>
  <si>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</si>
  <si>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</si>
  <si>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</si>
  <si>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</si>
  <si>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</si>
  <si>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</si>
  <si>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</si>
  <si>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</si>
  <si>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</si>
  <si>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</si>
  <si>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</si>
  <si>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</si>
  <si>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</si>
  <si>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</si>
  <si>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</si>
  <si>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</si>
  <si>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</si>
  <si>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</si>
  <si>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</si>
  <si>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</si>
  <si>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</si>
  <si>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</si>
  <si>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</si>
  <si>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</si>
  <si>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</si>
  <si>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</si>
  <si>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</si>
  <si>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</si>
  <si>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</si>
  <si>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</si>
  <si>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</si>
  <si>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</si>
  <si>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</si>
  <si>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</si>
  <si>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</si>
  <si>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</si>
  <si>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</si>
  <si>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</si>
  <si>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</si>
  <si>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</si>
  <si>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</si>
  <si>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</si>
  <si>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</si>
  <si>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</si>
  <si>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</si>
  <si>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</si>
  <si>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</si>
  <si>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</si>
  <si>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</si>
  <si>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</si>
  <si>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</si>
  <si>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</si>
  <si>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</si>
  <si>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</si>
  <si>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</si>
  <si>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</si>
  <si>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</si>
  <si>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</si>
  <si>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</si>
  <si>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</si>
  <si>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</si>
  <si>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</si>
  <si>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</si>
  <si>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</si>
  <si>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</si>
  <si>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</si>
  <si>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</si>
  <si>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</si>
  <si>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</si>
  <si>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</si>
  <si>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</si>
  <si>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</si>
  <si>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</si>
  <si>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</si>
  <si>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</si>
  <si>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</si>
  <si>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</si>
  <si>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</si>
  <si>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</si>
  <si>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</si>
  <si>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</si>
  <si>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</si>
  <si>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</si>
  <si>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</si>
  <si>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</si>
  <si>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</si>
  <si>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</si>
  <si>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</si>
  <si>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</si>
  <si>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</si>
  <si>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</si>
  <si>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</si>
  <si>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</si>
  <si>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</si>
  <si>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</si>
  <si>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</si>
  <si>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</si>
  <si>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</si>
  <si>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</si>
  <si>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</si>
  <si>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</si>
  <si>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</si>
  <si>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</si>
  <si>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</si>
  <si>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</si>
  <si>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</si>
  <si>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</si>
  <si>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</si>
  <si>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</si>
  <si>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</si>
  <si>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</si>
  <si>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</si>
  <si>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</si>
  <si>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</si>
  <si>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</si>
  <si>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</si>
  <si>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</si>
  <si>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</si>
  <si>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</si>
  <si>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Viborgvej - separering, Pumpestationer i brønde (&lt; 6,25 m2), Konstruktioner</t>
  </si>
  <si>
    <t>Viborgvej - separering, Pumpestationer i brønde (&lt; 6,25 m2), Mek/EL</t>
  </si>
  <si>
    <t>Viborgvej - separering, Stik</t>
  </si>
  <si>
    <t>Viborgvej - separering, Ø 200 mm &lt; Ledningsnet ≤ Ø 500 mm</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</si>
  <si>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</si>
  <si>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</si>
  <si>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</si>
  <si>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</si>
  <si>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</si>
  <si>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</si>
  <si>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Ejendomsskatter</t>
  </si>
  <si>
    <t>Tjenestemandspensioner</t>
  </si>
  <si>
    <t>Erstatninger</t>
  </si>
  <si>
    <t>Gebyr til Miljøstyrelsen</t>
  </si>
  <si>
    <t>Fradrag i den økonomiske ramme for 2029</t>
  </si>
  <si>
    <t>Fradrag i den økonomiske ramme for 2030</t>
  </si>
  <si>
    <t>270050 Øget digitalisering til systematisk overvågning af anlægsaktiverne</t>
  </si>
  <si>
    <t>295055 Glattrup Bæk - miljøforbedringer</t>
  </si>
  <si>
    <t>295064 Brårupvej m.fl. etape 1</t>
  </si>
  <si>
    <t>295066 Resenvej</t>
  </si>
  <si>
    <t>295070 Vestre Alle bassin</t>
  </si>
  <si>
    <t>295073 Skive Vestby etape 1+2</t>
  </si>
  <si>
    <t>295076 Solvangs Alle</t>
  </si>
  <si>
    <t>297043 Teglværksvej mfl. bassiner</t>
  </si>
  <si>
    <t>297001/297066 Spildevandskloakering i det åbne land</t>
  </si>
  <si>
    <t>297042 Hedelund regnvandsbassin</t>
  </si>
  <si>
    <t>297048 Ørslevklostervej 151-159</t>
  </si>
  <si>
    <t>297052 Brårupvej 50 (Energiparken) Skive</t>
  </si>
  <si>
    <t>297054 Hesselbjergvej udvidelse</t>
  </si>
  <si>
    <t>Periodevise driftsomkostninger - oprensning af bassiner</t>
  </si>
  <si>
    <t>Viborgvej - separering, Brønde</t>
  </si>
  <si>
    <t>Viborgvej - separering, Overbygning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</si>
</sst>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3" fontId="8" fillId="8" borderId="3" xfId="0" applyNumberFormat="1" applyFont="1" applyFill="1" applyBorder="1" applyProtection="1"/>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227</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125</v>
      </c>
      <c r="D13" s="102"/>
      <c r="E13" s="102"/>
      <c r="F13" s="103"/>
      <c r="G13" s="5"/>
    </row>
    <row r="14" spans="1:7" x14ac:dyDescent="0.25">
      <c r="A14" s="1"/>
      <c r="B14" s="6" t="s">
        <v>16</v>
      </c>
      <c r="C14" s="92" t="s">
        <v>184</v>
      </c>
      <c r="D14" s="93"/>
      <c r="E14" s="93"/>
      <c r="F14" s="94"/>
      <c r="G14" s="5"/>
    </row>
    <row r="15" spans="1:7" x14ac:dyDescent="0.25">
      <c r="A15" s="1"/>
      <c r="B15" s="6" t="s">
        <v>30</v>
      </c>
      <c r="C15" s="92" t="s">
        <v>147</v>
      </c>
      <c r="D15" s="93"/>
      <c r="E15" s="93"/>
      <c r="F15" s="94"/>
      <c r="G15" s="5"/>
    </row>
    <row r="16" spans="1:7" x14ac:dyDescent="0.25">
      <c r="A16" s="1"/>
      <c r="B16" s="6" t="s">
        <v>31</v>
      </c>
      <c r="C16" s="92" t="s">
        <v>149</v>
      </c>
      <c r="D16" s="93"/>
      <c r="E16" s="93"/>
      <c r="F16" s="94"/>
      <c r="G16" s="5"/>
    </row>
    <row r="17" spans="1:8" x14ac:dyDescent="0.25">
      <c r="A17" s="1"/>
      <c r="B17" s="6" t="s">
        <v>61</v>
      </c>
      <c r="C17" s="92" t="s">
        <v>150</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151</v>
      </c>
      <c r="D22" s="84"/>
      <c r="E22" s="84"/>
      <c r="F22" s="85"/>
      <c r="G22" s="5"/>
    </row>
    <row r="23" spans="1:8" x14ac:dyDescent="0.25">
      <c r="A23" s="1"/>
      <c r="B23" s="6" t="s">
        <v>8</v>
      </c>
      <c r="C23" s="83" t="s">
        <v>110</v>
      </c>
      <c r="D23" s="84"/>
      <c r="E23" s="84"/>
      <c r="F23" s="85"/>
      <c r="G23" s="5"/>
    </row>
    <row r="24" spans="1:8" x14ac:dyDescent="0.25">
      <c r="A24" s="1"/>
      <c r="B24" s="6" t="s">
        <v>9</v>
      </c>
      <c r="C24" s="83" t="s">
        <v>152</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148</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tgEuGK2fHXCKa8f8jLYX+pgebnGfH2V/6Fn5Kjdr4CIraFLr+mgRfcrs4Vq8D8ylQ5pNMEwbJwwkswFmtvZxPw==" saltValue="wiKj/82XMHbomfOkzoVD+A=="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163</v>
      </c>
      <c r="C8" s="109"/>
      <c r="D8" s="110"/>
      <c r="E8" s="1"/>
    </row>
    <row r="9" spans="1:5" ht="15" customHeight="1" x14ac:dyDescent="0.25">
      <c r="A9" s="1"/>
      <c r="B9" s="27" t="s">
        <v>28</v>
      </c>
      <c r="C9" s="67" t="s">
        <v>164</v>
      </c>
      <c r="D9" s="11"/>
      <c r="E9" s="1"/>
    </row>
    <row r="10" spans="1:5" ht="15" customHeight="1" x14ac:dyDescent="0.25">
      <c r="A10" s="1"/>
      <c r="B10" s="72" t="s">
        <v>228</v>
      </c>
      <c r="C10" s="73">
        <v>1358715</v>
      </c>
      <c r="D10" s="14" t="s">
        <v>3</v>
      </c>
      <c r="E10" s="1"/>
    </row>
    <row r="11" spans="1:5" ht="15" customHeight="1" x14ac:dyDescent="0.25">
      <c r="A11" s="1"/>
      <c r="B11" s="72" t="s">
        <v>229</v>
      </c>
      <c r="C11" s="73">
        <v>59041</v>
      </c>
      <c r="D11" s="14" t="s">
        <v>3</v>
      </c>
      <c r="E11" s="1"/>
    </row>
    <row r="12" spans="1:5" x14ac:dyDescent="0.25">
      <c r="A12" s="1"/>
      <c r="B12" s="72" t="s">
        <v>230</v>
      </c>
      <c r="C12" s="73">
        <v>200554</v>
      </c>
      <c r="D12" s="14" t="s">
        <v>3</v>
      </c>
      <c r="E12" s="1"/>
    </row>
    <row r="13" spans="1:5" x14ac:dyDescent="0.25">
      <c r="A13" s="1"/>
      <c r="B13" s="72" t="s">
        <v>231</v>
      </c>
      <c r="C13" s="73">
        <v>182355</v>
      </c>
      <c r="D13" s="14" t="s">
        <v>3</v>
      </c>
      <c r="E13" s="1"/>
    </row>
    <row r="14" spans="1:5" x14ac:dyDescent="0.25">
      <c r="A14" s="1"/>
      <c r="B14" s="72" t="s">
        <v>232</v>
      </c>
      <c r="C14" s="73">
        <v>267014.53000000003</v>
      </c>
      <c r="D14" s="14" t="s">
        <v>3</v>
      </c>
      <c r="E14" s="1"/>
    </row>
    <row r="15" spans="1:5" x14ac:dyDescent="0.25">
      <c r="A15" s="1"/>
      <c r="B15" s="72" t="s">
        <v>233</v>
      </c>
      <c r="C15" s="73">
        <v>17148</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165</v>
      </c>
      <c r="C20" s="12">
        <f>SUM(C10:C19)</f>
        <v>2084827.53</v>
      </c>
      <c r="D20" s="13" t="s">
        <v>3</v>
      </c>
      <c r="E20" s="1"/>
    </row>
    <row r="21" spans="1:5" x14ac:dyDescent="0.25">
      <c r="A21" s="1"/>
      <c r="B21" s="33" t="s">
        <v>166</v>
      </c>
      <c r="C21" s="12">
        <f>C20*(1+'Fane 15. Nøgletal'!C10)^2</f>
        <v>2370439.9160033455</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146</v>
      </c>
      <c r="C27" s="9">
        <v>0</v>
      </c>
      <c r="D27" s="14" t="s">
        <v>3</v>
      </c>
      <c r="E27" s="1"/>
    </row>
    <row r="28" spans="1:5" x14ac:dyDescent="0.25">
      <c r="A28" s="1"/>
      <c r="B28" s="34" t="s">
        <v>167</v>
      </c>
      <c r="C28" s="9">
        <v>0</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653167</v>
      </c>
      <c r="D33" s="14" t="s">
        <v>3</v>
      </c>
      <c r="E33" s="1"/>
    </row>
    <row r="34" spans="1:5" x14ac:dyDescent="0.25">
      <c r="A34" s="1"/>
      <c r="B34" s="37" t="s">
        <v>83</v>
      </c>
      <c r="C34" s="9">
        <v>653167</v>
      </c>
      <c r="D34" s="14" t="s">
        <v>3</v>
      </c>
      <c r="E34" s="1"/>
    </row>
    <row r="35" spans="1:5" x14ac:dyDescent="0.25">
      <c r="A35" s="1"/>
      <c r="B35" s="37" t="s">
        <v>146</v>
      </c>
      <c r="C35" s="9">
        <v>653168</v>
      </c>
      <c r="D35" s="14" t="s">
        <v>3</v>
      </c>
      <c r="E35" s="1"/>
    </row>
    <row r="36" spans="1:5" x14ac:dyDescent="0.25">
      <c r="A36" s="1"/>
      <c r="B36" s="34" t="s">
        <v>167</v>
      </c>
      <c r="C36" s="9">
        <v>653168</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dvYiiL7xOIlZGDc/zqqfMp7AmhWn2Kud+CGS33NWLR/dd+BCwxpIAlIEdMnGajVzwHfxk3H+67p+4tFh8LDVnQ==" saltValue="UK7uB5whHp84eyECXQ0MQ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199</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202</v>
      </c>
      <c r="C9" s="9">
        <v>3520332.3801523894</v>
      </c>
      <c r="D9" s="14" t="s">
        <v>3</v>
      </c>
      <c r="E9" s="1"/>
    </row>
    <row r="10" spans="1:5" x14ac:dyDescent="0.25">
      <c r="A10" s="1"/>
      <c r="B10" s="33"/>
      <c r="C10" s="28"/>
      <c r="D10" s="19"/>
      <c r="E10" s="1"/>
    </row>
    <row r="11" spans="1:5" ht="53.25" customHeight="1" x14ac:dyDescent="0.25">
      <c r="A11" s="1"/>
      <c r="B11" s="119" t="s">
        <v>210</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200</v>
      </c>
      <c r="C14" s="9">
        <v>0</v>
      </c>
      <c r="D14" s="14" t="s">
        <v>3</v>
      </c>
      <c r="E14" s="1"/>
    </row>
    <row r="15" spans="1:5" x14ac:dyDescent="0.25">
      <c r="A15" s="1"/>
      <c r="B15" s="65" t="s">
        <v>201</v>
      </c>
      <c r="C15" s="9">
        <v>0</v>
      </c>
      <c r="D15" s="14" t="s">
        <v>3</v>
      </c>
      <c r="E15" s="1"/>
    </row>
    <row r="16" spans="1:5" x14ac:dyDescent="0.25">
      <c r="A16" s="1"/>
      <c r="B16" s="33"/>
      <c r="C16" s="28"/>
      <c r="D16" s="19"/>
      <c r="E16" s="1"/>
    </row>
    <row r="17" spans="1:5" ht="29.25" customHeight="1" x14ac:dyDescent="0.25">
      <c r="A17" s="1"/>
      <c r="B17" s="119" t="s">
        <v>119</v>
      </c>
      <c r="C17" s="120"/>
      <c r="D17" s="121"/>
      <c r="E17" s="1"/>
    </row>
    <row r="18" spans="1:5" x14ac:dyDescent="0.25">
      <c r="A18" s="1"/>
      <c r="B18" s="1"/>
      <c r="C18" s="1"/>
      <c r="D18" s="1"/>
      <c r="E18" s="1"/>
    </row>
    <row r="19" spans="1:5" x14ac:dyDescent="0.25">
      <c r="A19" s="1"/>
      <c r="B19" s="76" t="s">
        <v>203</v>
      </c>
      <c r="C19" s="77"/>
      <c r="D19" s="78"/>
      <c r="E19" s="1"/>
    </row>
    <row r="20" spans="1:5" x14ac:dyDescent="0.25">
      <c r="A20" s="1"/>
      <c r="B20" s="65" t="s">
        <v>204</v>
      </c>
      <c r="C20" s="9">
        <v>76740795.641190201</v>
      </c>
      <c r="D20" s="14" t="s">
        <v>3</v>
      </c>
      <c r="E20" s="1"/>
    </row>
    <row r="21" spans="1:5" x14ac:dyDescent="0.25">
      <c r="A21" s="1"/>
      <c r="B21" s="65" t="s">
        <v>205</v>
      </c>
      <c r="C21" s="9">
        <v>77457594</v>
      </c>
      <c r="D21" s="14" t="s">
        <v>3</v>
      </c>
      <c r="E21" s="1"/>
    </row>
    <row r="22" spans="1:5" x14ac:dyDescent="0.25">
      <c r="A22" s="1"/>
      <c r="B22" s="65" t="s">
        <v>29</v>
      </c>
      <c r="C22" s="9">
        <v>0</v>
      </c>
      <c r="D22" s="14" t="s">
        <v>3</v>
      </c>
      <c r="E22" s="1"/>
    </row>
    <row r="23" spans="1:5" x14ac:dyDescent="0.25">
      <c r="A23" s="1"/>
      <c r="B23" s="82" t="s">
        <v>206</v>
      </c>
      <c r="C23" s="57">
        <f>C20-C21-C22</f>
        <v>-716798.35880979896</v>
      </c>
      <c r="D23" s="17" t="s">
        <v>3</v>
      </c>
      <c r="E23" s="1"/>
    </row>
    <row r="24" spans="1:5" x14ac:dyDescent="0.25">
      <c r="A24" s="1"/>
      <c r="B24" s="33"/>
      <c r="C24" s="28"/>
      <c r="D24" s="19"/>
      <c r="E24" s="1"/>
    </row>
    <row r="25" spans="1:5" x14ac:dyDescent="0.25">
      <c r="A25" s="1"/>
      <c r="B25" s="1"/>
      <c r="C25" s="1"/>
      <c r="D25" s="1"/>
      <c r="E25" s="1"/>
    </row>
    <row r="26" spans="1:5" x14ac:dyDescent="0.25">
      <c r="A26" s="1"/>
      <c r="B26" s="108" t="s">
        <v>207</v>
      </c>
      <c r="C26" s="109"/>
      <c r="D26" s="110"/>
      <c r="E26" s="1"/>
    </row>
    <row r="27" spans="1:5" x14ac:dyDescent="0.25">
      <c r="A27" s="1"/>
      <c r="B27" s="82" t="s">
        <v>208</v>
      </c>
      <c r="C27" s="57">
        <f>IF(AND(C15&lt;0,C23&gt;0,ABS(SUM(C14:C15))&lt;C23),ABS(C14),IF(AND(C15&lt;0,C23&gt;0,ABS(SUM(C14:C15))&gt;C23),SUM(C14,C23),C15))</f>
        <v>0</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209</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Wg4yCPN3lfMmMoBM6OOSW4ONfpx7SisAcPwH/tT6mSMuxMuZApNT4asF6MRqKWT2behqjtA6bH2YNCLzpca4rg==" saltValue="SfGoiovLfx/SlJzrRld+j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53"/>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118</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v>-581904.16666666698</v>
      </c>
      <c r="D12" s="9" t="s">
        <v>3</v>
      </c>
      <c r="E12" s="1"/>
    </row>
    <row r="13" spans="1:5" x14ac:dyDescent="0.25">
      <c r="A13" s="1"/>
      <c r="B13" s="68" t="s">
        <v>106</v>
      </c>
      <c r="C13" s="9">
        <v>-581904.16666666698</v>
      </c>
      <c r="D13" s="9" t="s">
        <v>3</v>
      </c>
      <c r="E13" s="1"/>
    </row>
    <row r="14" spans="1:5" x14ac:dyDescent="0.25">
      <c r="A14" s="1"/>
      <c r="B14" s="68" t="s">
        <v>107</v>
      </c>
      <c r="C14" s="9">
        <v>-581904.16666666698</v>
      </c>
      <c r="D14" s="9" t="s">
        <v>3</v>
      </c>
      <c r="E14" s="1"/>
    </row>
    <row r="15" spans="1:5" x14ac:dyDescent="0.25">
      <c r="A15" s="1"/>
      <c r="B15" s="68" t="s">
        <v>108</v>
      </c>
      <c r="C15" s="9">
        <v>-581904.16666666698</v>
      </c>
      <c r="D15" s="9" t="s">
        <v>3</v>
      </c>
      <c r="E15" s="1"/>
    </row>
    <row r="16" spans="1:5" x14ac:dyDescent="0.25">
      <c r="A16" s="1"/>
      <c r="B16" s="68" t="s">
        <v>234</v>
      </c>
      <c r="C16" s="9">
        <v>-581904.16666666698</v>
      </c>
      <c r="D16" s="9" t="s">
        <v>3</v>
      </c>
      <c r="E16" s="1"/>
    </row>
    <row r="17" spans="1:5" x14ac:dyDescent="0.25">
      <c r="A17" s="1"/>
      <c r="B17" s="68" t="s">
        <v>235</v>
      </c>
      <c r="C17" s="9">
        <v>-581904.16666666698</v>
      </c>
      <c r="D17" s="9" t="s">
        <v>3</v>
      </c>
      <c r="E17" s="1"/>
    </row>
    <row r="18" spans="1:5" x14ac:dyDescent="0.25">
      <c r="A18" s="1"/>
      <c r="B18" s="76" t="s">
        <v>109</v>
      </c>
      <c r="C18" s="12">
        <f>SUM(C10:C17)</f>
        <v>-3491425.0000000019</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row r="53" spans="1:5" hidden="1" x14ac:dyDescent="0.25"/>
  </sheetData>
  <sheetProtection algorithmName="SHA-512" hashValue="vbn0cupL1ilUYP3/Mk47wO8bEBE9p0uUx4MJSZiMdvvDyggp9DbuqbeU5pKwLcSkNXcTRWiWHU1+fqF52+DP4w==" saltValue="Bat9tEVFhtmvVwAV64Dj9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168</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169</v>
      </c>
      <c r="C8" s="109"/>
      <c r="D8" s="110"/>
      <c r="E8" s="1"/>
    </row>
    <row r="9" spans="1:5" ht="26.25" x14ac:dyDescent="0.25">
      <c r="A9" s="1"/>
      <c r="B9" s="79" t="s">
        <v>213</v>
      </c>
      <c r="C9" s="7"/>
      <c r="D9" s="8" t="s">
        <v>3</v>
      </c>
      <c r="E9" s="1"/>
    </row>
    <row r="10" spans="1:5" ht="14.25" customHeight="1" x14ac:dyDescent="0.25">
      <c r="A10" s="1"/>
      <c r="B10" s="65" t="s">
        <v>170</v>
      </c>
      <c r="C10" s="7"/>
      <c r="D10" s="8" t="s">
        <v>3</v>
      </c>
      <c r="E10" s="1"/>
    </row>
    <row r="11" spans="1:5" ht="14.25" customHeight="1" x14ac:dyDescent="0.25">
      <c r="A11" s="1"/>
      <c r="B11" s="82" t="s">
        <v>48</v>
      </c>
      <c r="C11" s="10">
        <f>C10-C9</f>
        <v>0</v>
      </c>
      <c r="D11" s="11" t="s">
        <v>3</v>
      </c>
      <c r="E11" s="1"/>
    </row>
    <row r="12" spans="1:5" ht="14.25" customHeight="1" x14ac:dyDescent="0.25">
      <c r="A12" s="1"/>
      <c r="B12" s="108" t="s">
        <v>215</v>
      </c>
      <c r="C12" s="109"/>
      <c r="D12" s="110"/>
      <c r="E12" s="1"/>
    </row>
    <row r="13" spans="1:5" ht="26.25" x14ac:dyDescent="0.25">
      <c r="A13" s="1"/>
      <c r="B13" s="79" t="s">
        <v>214</v>
      </c>
      <c r="C13" s="7">
        <v>0</v>
      </c>
      <c r="D13" s="8" t="s">
        <v>3</v>
      </c>
      <c r="E13" s="1"/>
    </row>
    <row r="14" spans="1:5" ht="14.25" customHeight="1" x14ac:dyDescent="0.25">
      <c r="A14" s="1"/>
      <c r="B14" s="65" t="s">
        <v>171</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172</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7X6m2b97juHnkVr9nCIrg+aQRtM9qMZOzmNILOR0eCDkDx2pXjq07lhuNcd8K03/xplN77ADF0HZAZu2/OlEvw==" saltValue="0B4xm1sceAnx3SW8Qyl6H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7"/>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111</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ht="39" x14ac:dyDescent="0.25">
      <c r="A10" s="1"/>
      <c r="B10" s="68" t="s">
        <v>223</v>
      </c>
      <c r="C10" s="42">
        <v>75</v>
      </c>
      <c r="D10" s="71">
        <v>3446623</v>
      </c>
      <c r="E10" s="14" t="s">
        <v>3</v>
      </c>
      <c r="F10" s="9">
        <f t="shared" ref="F10" si="0">IFERROR(D10/C10,0)</f>
        <v>45954.973333333335</v>
      </c>
      <c r="G10" s="14" t="s">
        <v>3</v>
      </c>
      <c r="H10" s="38">
        <v>0</v>
      </c>
      <c r="I10" s="14" t="s">
        <v>3</v>
      </c>
      <c r="J10" s="38">
        <v>0</v>
      </c>
      <c r="K10" s="14" t="s">
        <v>3</v>
      </c>
      <c r="L10" s="1"/>
    </row>
    <row r="11" spans="1:12" ht="26.25" x14ac:dyDescent="0.25">
      <c r="A11" s="1"/>
      <c r="B11" s="68" t="s">
        <v>250</v>
      </c>
      <c r="C11" s="42">
        <v>75</v>
      </c>
      <c r="D11" s="71">
        <v>1657030</v>
      </c>
      <c r="E11" s="14" t="s">
        <v>3</v>
      </c>
      <c r="F11" s="9">
        <f t="shared" ref="F11" si="1">IFERROR(D11/C11,0)</f>
        <v>22093.733333333334</v>
      </c>
      <c r="G11" s="14" t="s">
        <v>3</v>
      </c>
      <c r="H11" s="38">
        <v>0</v>
      </c>
      <c r="I11" s="14" t="s">
        <v>3</v>
      </c>
      <c r="J11" s="38">
        <v>0</v>
      </c>
      <c r="K11" s="14" t="s">
        <v>3</v>
      </c>
      <c r="L11" s="1"/>
    </row>
    <row r="12" spans="1:12" x14ac:dyDescent="0.25">
      <c r="A12" s="1"/>
      <c r="B12" s="68" t="s">
        <v>222</v>
      </c>
      <c r="C12" s="42">
        <v>75</v>
      </c>
      <c r="D12" s="71">
        <v>1524468</v>
      </c>
      <c r="E12" s="14" t="s">
        <v>3</v>
      </c>
      <c r="F12" s="9">
        <f t="shared" ref="F12:F15" si="2">IFERROR(D12/C12,0)</f>
        <v>20326.240000000002</v>
      </c>
      <c r="G12" s="14" t="s">
        <v>3</v>
      </c>
      <c r="H12" s="38">
        <v>0</v>
      </c>
      <c r="I12" s="14" t="s">
        <v>3</v>
      </c>
      <c r="J12" s="38">
        <v>0</v>
      </c>
      <c r="K12" s="14" t="s">
        <v>3</v>
      </c>
      <c r="L12" s="1"/>
    </row>
    <row r="13" spans="1:12" ht="26.25" x14ac:dyDescent="0.25">
      <c r="A13" s="1"/>
      <c r="B13" s="68" t="s">
        <v>251</v>
      </c>
      <c r="C13" s="42">
        <v>75</v>
      </c>
      <c r="D13" s="71">
        <v>252030</v>
      </c>
      <c r="E13" s="14" t="s">
        <v>3</v>
      </c>
      <c r="F13" s="9">
        <f t="shared" si="2"/>
        <v>3360.4</v>
      </c>
      <c r="G13" s="14" t="s">
        <v>3</v>
      </c>
      <c r="H13" s="38">
        <v>0</v>
      </c>
      <c r="I13" s="14" t="s">
        <v>3</v>
      </c>
      <c r="J13" s="38">
        <v>0</v>
      </c>
      <c r="K13" s="14" t="s">
        <v>3</v>
      </c>
      <c r="L13" s="1"/>
    </row>
    <row r="14" spans="1:12" ht="39" x14ac:dyDescent="0.25">
      <c r="A14" s="1"/>
      <c r="B14" s="68" t="s">
        <v>220</v>
      </c>
      <c r="C14" s="42">
        <v>20</v>
      </c>
      <c r="D14" s="9">
        <v>82810</v>
      </c>
      <c r="E14" s="14" t="s">
        <v>3</v>
      </c>
      <c r="F14" s="9">
        <f t="shared" si="2"/>
        <v>4140.5</v>
      </c>
      <c r="G14" s="14" t="s">
        <v>3</v>
      </c>
      <c r="H14" s="38">
        <v>0</v>
      </c>
      <c r="I14" s="14" t="s">
        <v>3</v>
      </c>
      <c r="J14" s="38">
        <v>0</v>
      </c>
      <c r="K14" s="14" t="s">
        <v>3</v>
      </c>
      <c r="L14" s="1"/>
    </row>
    <row r="15" spans="1:12" ht="39" x14ac:dyDescent="0.25">
      <c r="A15" s="1"/>
      <c r="B15" s="68" t="s">
        <v>221</v>
      </c>
      <c r="C15" s="42">
        <v>10</v>
      </c>
      <c r="D15" s="71">
        <v>25203</v>
      </c>
      <c r="E15" s="14" t="s">
        <v>3</v>
      </c>
      <c r="F15" s="9">
        <f t="shared" si="2"/>
        <v>2520.3000000000002</v>
      </c>
      <c r="G15" s="14" t="s">
        <v>3</v>
      </c>
      <c r="H15" s="38">
        <v>0</v>
      </c>
      <c r="I15" s="14" t="s">
        <v>3</v>
      </c>
      <c r="J15" s="38">
        <v>0</v>
      </c>
      <c r="K15" s="14" t="s">
        <v>3</v>
      </c>
      <c r="L15" s="1"/>
    </row>
    <row r="16" spans="1:12" x14ac:dyDescent="0.25">
      <c r="A16" s="1"/>
      <c r="B16" s="76" t="s">
        <v>217</v>
      </c>
      <c r="C16" s="77"/>
      <c r="D16" s="78"/>
      <c r="E16" s="78"/>
      <c r="F16" s="12">
        <f>SUM(F10:F15)</f>
        <v>98396.146666666667</v>
      </c>
      <c r="G16" s="12" t="s">
        <v>94</v>
      </c>
      <c r="H16" s="12">
        <f>SUM(H10:H15)</f>
        <v>0</v>
      </c>
      <c r="I16" s="12" t="s">
        <v>94</v>
      </c>
      <c r="J16" s="12">
        <f>SUM(J10:J15)</f>
        <v>0</v>
      </c>
      <c r="K16" s="13" t="s">
        <v>3</v>
      </c>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44"/>
      <c r="B49" s="1"/>
      <c r="C49" s="1"/>
      <c r="D49" s="1"/>
      <c r="E49" s="1"/>
      <c r="F49" s="1"/>
      <c r="G49" s="1"/>
      <c r="H49" s="1"/>
      <c r="I49" s="1"/>
      <c r="J49" s="1"/>
      <c r="K49" s="1"/>
      <c r="L49" s="44"/>
    </row>
    <row r="50" spans="1:12" hidden="1" x14ac:dyDescent="0.25">
      <c r="A50" s="44"/>
      <c r="B50" s="1"/>
      <c r="C50" s="1"/>
      <c r="D50" s="1"/>
      <c r="E50" s="1"/>
      <c r="F50" s="1"/>
      <c r="G50" s="1"/>
      <c r="H50" s="1"/>
      <c r="I50" s="1"/>
      <c r="J50" s="1"/>
      <c r="K50" s="1"/>
      <c r="L50" s="44"/>
    </row>
    <row r="51" spans="1:12" hidden="1" x14ac:dyDescent="0.25">
      <c r="B51" s="1"/>
      <c r="C51" s="1"/>
      <c r="D51" s="1"/>
      <c r="E51" s="1"/>
      <c r="F51" s="1"/>
      <c r="G51" s="1"/>
      <c r="H51" s="1"/>
      <c r="I51" s="1"/>
      <c r="J51" s="1"/>
      <c r="K51" s="1"/>
    </row>
    <row r="52" spans="1:12" hidden="1" x14ac:dyDescent="0.25">
      <c r="B52" s="44"/>
      <c r="C52" s="44"/>
      <c r="D52" s="44"/>
      <c r="E52" s="44"/>
      <c r="F52" s="44"/>
      <c r="G52" s="44"/>
      <c r="H52" s="44"/>
      <c r="I52" s="44"/>
      <c r="J52" s="44"/>
      <c r="K52" s="44"/>
    </row>
    <row r="53" spans="1:12" hidden="1" x14ac:dyDescent="0.25">
      <c r="B53" s="44"/>
      <c r="C53" s="44"/>
      <c r="D53" s="44"/>
      <c r="E53" s="44"/>
      <c r="F53" s="44"/>
      <c r="G53" s="44"/>
      <c r="H53" s="44"/>
      <c r="I53" s="44"/>
      <c r="J53" s="44"/>
      <c r="K53" s="44"/>
    </row>
    <row r="54" spans="1:12" hidden="1" x14ac:dyDescent="0.25"/>
    <row r="55" spans="1:12" hidden="1" x14ac:dyDescent="0.25"/>
    <row r="56" spans="1:12" hidden="1" x14ac:dyDescent="0.25"/>
    <row r="57" spans="1:12" hidden="1" x14ac:dyDescent="0.25"/>
  </sheetData>
  <sheetProtection algorithmName="SHA-512" hashValue="wh9Zn/lln7gNy/mTU36rudk+gNav4GK7teTBSSC0n/K586jIe0nO7NbUlh20uHx65R+BH5U1jHXX4V1NmGOkEw==" saltValue="NPAZpHgMSxWr4Gm6AdGD4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6"/>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112</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19)'!H16</f>
        <v>0</v>
      </c>
      <c r="D10" s="14" t="s">
        <v>3</v>
      </c>
      <c r="E10" s="9">
        <f>'Fane 10. Anlægsprojekter (§ 19)'!F16+'Fane 10. Anlægsprojekter (§ 19)'!J16</f>
        <v>98396.146666666667</v>
      </c>
      <c r="F10" s="14" t="s">
        <v>3</v>
      </c>
      <c r="G10" s="1"/>
    </row>
    <row r="11" spans="1:7" x14ac:dyDescent="0.25">
      <c r="A11" s="1"/>
      <c r="B11" s="24" t="s">
        <v>236</v>
      </c>
      <c r="C11" s="21">
        <v>311158</v>
      </c>
      <c r="D11" s="14" t="s">
        <v>3</v>
      </c>
      <c r="E11" s="9">
        <v>112107</v>
      </c>
      <c r="F11" s="14" t="s">
        <v>3</v>
      </c>
      <c r="G11" s="1"/>
    </row>
    <row r="12" spans="1:7" x14ac:dyDescent="0.25">
      <c r="A12" s="1"/>
      <c r="B12" s="24" t="s">
        <v>237</v>
      </c>
      <c r="C12" s="21">
        <v>0</v>
      </c>
      <c r="D12" s="14" t="s">
        <v>3</v>
      </c>
      <c r="E12" s="9">
        <v>9372.9599999999991</v>
      </c>
      <c r="F12" s="14" t="s">
        <v>3</v>
      </c>
      <c r="G12" s="1"/>
    </row>
    <row r="13" spans="1:7" x14ac:dyDescent="0.25">
      <c r="A13" s="1"/>
      <c r="B13" s="24" t="s">
        <v>238</v>
      </c>
      <c r="C13" s="21">
        <v>1768.88</v>
      </c>
      <c r="D13" s="14" t="s">
        <v>3</v>
      </c>
      <c r="E13" s="9">
        <v>135283.68</v>
      </c>
      <c r="F13" s="14" t="s">
        <v>3</v>
      </c>
      <c r="G13" s="1"/>
    </row>
    <row r="14" spans="1:7" x14ac:dyDescent="0.25">
      <c r="A14" s="1"/>
      <c r="B14" s="24" t="s">
        <v>239</v>
      </c>
      <c r="C14" s="21">
        <v>27407.55</v>
      </c>
      <c r="D14" s="14" t="s">
        <v>3</v>
      </c>
      <c r="E14" s="9">
        <v>210060.52</v>
      </c>
      <c r="F14" s="14" t="s">
        <v>3</v>
      </c>
      <c r="G14" s="1"/>
    </row>
    <row r="15" spans="1:7" x14ac:dyDescent="0.25">
      <c r="A15" s="1"/>
      <c r="B15" s="24" t="s">
        <v>240</v>
      </c>
      <c r="C15" s="21">
        <v>10977.2</v>
      </c>
      <c r="D15" s="14" t="s">
        <v>3</v>
      </c>
      <c r="E15" s="9">
        <v>61266.45</v>
      </c>
      <c r="F15" s="14" t="s">
        <v>3</v>
      </c>
      <c r="G15" s="1"/>
    </row>
    <row r="16" spans="1:7" x14ac:dyDescent="0.25">
      <c r="A16" s="1"/>
      <c r="B16" s="24" t="s">
        <v>241</v>
      </c>
      <c r="C16" s="21">
        <v>16146.83</v>
      </c>
      <c r="D16" s="14" t="s">
        <v>3</v>
      </c>
      <c r="E16" s="9">
        <v>286138.07</v>
      </c>
      <c r="F16" s="14" t="s">
        <v>3</v>
      </c>
      <c r="G16" s="1"/>
    </row>
    <row r="17" spans="1:7" x14ac:dyDescent="0.25">
      <c r="A17" s="1"/>
      <c r="B17" s="24" t="s">
        <v>242</v>
      </c>
      <c r="C17" s="21">
        <v>6821.85</v>
      </c>
      <c r="D17" s="14" t="s">
        <v>3</v>
      </c>
      <c r="E17" s="9">
        <v>274662.83</v>
      </c>
      <c r="F17" s="14" t="s">
        <v>3</v>
      </c>
      <c r="G17" s="1"/>
    </row>
    <row r="18" spans="1:7" x14ac:dyDescent="0.25">
      <c r="A18" s="1"/>
      <c r="B18" s="24" t="s">
        <v>243</v>
      </c>
      <c r="C18" s="21">
        <v>0</v>
      </c>
      <c r="D18" s="14" t="s">
        <v>3</v>
      </c>
      <c r="E18" s="9">
        <v>3617.1</v>
      </c>
      <c r="F18" s="14" t="s">
        <v>3</v>
      </c>
      <c r="G18" s="1"/>
    </row>
    <row r="19" spans="1:7" x14ac:dyDescent="0.25">
      <c r="A19" s="1"/>
      <c r="B19" s="24" t="s">
        <v>244</v>
      </c>
      <c r="C19" s="21">
        <v>85701.46</v>
      </c>
      <c r="D19" s="14" t="s">
        <v>3</v>
      </c>
      <c r="E19" s="9">
        <v>382150.69</v>
      </c>
      <c r="F19" s="14" t="s">
        <v>3</v>
      </c>
      <c r="G19" s="1"/>
    </row>
    <row r="20" spans="1:7" x14ac:dyDescent="0.25">
      <c r="A20" s="1"/>
      <c r="B20" s="24" t="s">
        <v>245</v>
      </c>
      <c r="C20" s="21">
        <v>0</v>
      </c>
      <c r="D20" s="14" t="s">
        <v>3</v>
      </c>
      <c r="E20" s="9">
        <v>6067.14</v>
      </c>
      <c r="F20" s="14" t="s">
        <v>3</v>
      </c>
      <c r="G20" s="1"/>
    </row>
    <row r="21" spans="1:7" x14ac:dyDescent="0.25">
      <c r="A21" s="1"/>
      <c r="B21" s="24" t="s">
        <v>246</v>
      </c>
      <c r="C21" s="21">
        <v>1733.42</v>
      </c>
      <c r="D21" s="14" t="s">
        <v>3</v>
      </c>
      <c r="E21" s="9">
        <v>4059.64</v>
      </c>
      <c r="F21" s="14" t="s">
        <v>3</v>
      </c>
      <c r="G21" s="1"/>
    </row>
    <row r="22" spans="1:7" x14ac:dyDescent="0.25">
      <c r="A22" s="1"/>
      <c r="B22" s="24" t="s">
        <v>247</v>
      </c>
      <c r="C22" s="21">
        <v>0</v>
      </c>
      <c r="D22" s="14" t="s">
        <v>3</v>
      </c>
      <c r="E22" s="9">
        <v>3534.67</v>
      </c>
      <c r="F22" s="14" t="s">
        <v>3</v>
      </c>
      <c r="G22" s="1"/>
    </row>
    <row r="23" spans="1:7" x14ac:dyDescent="0.25">
      <c r="A23" s="1"/>
      <c r="B23" s="24" t="s">
        <v>248</v>
      </c>
      <c r="C23" s="21">
        <v>8843.3799999999992</v>
      </c>
      <c r="D23" s="14" t="s">
        <v>3</v>
      </c>
      <c r="E23" s="9">
        <v>37930.449999999997</v>
      </c>
      <c r="F23" s="14" t="s">
        <v>3</v>
      </c>
      <c r="G23" s="1"/>
    </row>
    <row r="24" spans="1:7" ht="26.25" x14ac:dyDescent="0.25">
      <c r="A24" s="1"/>
      <c r="B24" s="70" t="s">
        <v>249</v>
      </c>
      <c r="C24" s="21">
        <v>31288</v>
      </c>
      <c r="D24" s="14" t="s">
        <v>3</v>
      </c>
      <c r="E24" s="9">
        <v>0</v>
      </c>
      <c r="F24" s="14" t="s">
        <v>3</v>
      </c>
      <c r="G24" s="1"/>
    </row>
    <row r="25" spans="1:7" x14ac:dyDescent="0.25">
      <c r="A25" s="1"/>
      <c r="B25" s="24"/>
      <c r="C25" s="21"/>
      <c r="D25" s="14" t="s">
        <v>3</v>
      </c>
      <c r="E25" s="9"/>
      <c r="F25" s="14" t="s">
        <v>3</v>
      </c>
      <c r="G25" s="1"/>
    </row>
    <row r="26" spans="1:7" x14ac:dyDescent="0.25">
      <c r="A26" s="1"/>
      <c r="B26" s="33" t="s">
        <v>137</v>
      </c>
      <c r="C26" s="12">
        <f>SUM(C10:C25)</f>
        <v>501846.57</v>
      </c>
      <c r="D26" s="13" t="s">
        <v>3</v>
      </c>
      <c r="E26" s="12">
        <f>SUM(E10:E25)</f>
        <v>1624647.3466666664</v>
      </c>
      <c r="F26" s="13" t="s">
        <v>3</v>
      </c>
      <c r="G26" s="1"/>
    </row>
    <row r="27" spans="1:7" x14ac:dyDescent="0.25">
      <c r="A27" s="1"/>
      <c r="B27" s="33" t="s">
        <v>173</v>
      </c>
      <c r="C27" s="12">
        <f>C26*(1+'Fane 15. Nøgletal'!C10)</f>
        <v>535118.99759100005</v>
      </c>
      <c r="D27" s="13" t="s">
        <v>3</v>
      </c>
      <c r="E27" s="12">
        <f>E26*(1+'Fane 15. Nøgletal'!C10)</f>
        <v>1732361.4657506666</v>
      </c>
      <c r="F27" s="13"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sheetData>
  <sheetProtection algorithmName="SHA-512" hashValue="s3/KNUAtqUhKJ9AJ4Nc68mHyEgwciiCfdwEYfinl9D1T+237JAMjNYxeGRl7Fe371/kx49Gswju/GSE44dZXXw==" saltValue="0ecb/2Tc0kHeO5RtoIlVP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113</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174</v>
      </c>
      <c r="C8" s="109"/>
      <c r="D8" s="109"/>
      <c r="E8" s="109"/>
      <c r="F8" s="110"/>
      <c r="G8" s="1"/>
    </row>
    <row r="9" spans="1:7" x14ac:dyDescent="0.25">
      <c r="A9" s="1"/>
      <c r="B9" s="80" t="s">
        <v>17</v>
      </c>
      <c r="C9" s="82" t="s">
        <v>11</v>
      </c>
      <c r="D9" s="81"/>
      <c r="E9" s="82" t="s">
        <v>27</v>
      </c>
      <c r="F9" s="32"/>
      <c r="G9" s="1"/>
    </row>
    <row r="10" spans="1:7" ht="26.25" x14ac:dyDescent="0.25">
      <c r="A10" s="1"/>
      <c r="B10" s="70" t="s">
        <v>249</v>
      </c>
      <c r="C10" s="21">
        <v>312880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175</v>
      </c>
      <c r="C13" s="12">
        <f>SUM(C10:C12)</f>
        <v>312880</v>
      </c>
      <c r="D13" s="13" t="s">
        <v>3</v>
      </c>
      <c r="E13" s="12">
        <f>SUM(E10:E12)</f>
        <v>0</v>
      </c>
      <c r="F13" s="13" t="s">
        <v>3</v>
      </c>
      <c r="G13" s="1"/>
    </row>
    <row r="14" spans="1:7" x14ac:dyDescent="0.25">
      <c r="A14" s="1"/>
      <c r="B14" s="33" t="s">
        <v>176</v>
      </c>
      <c r="C14" s="12">
        <f>C13*(1+'Fane 15. Nøgletal'!C10)^2</f>
        <v>355743.21148719999</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YOBgWr4c4hPgO510B8uAvJNjim6cmit5yFv3A2qwiMFQmSMrFn1AZwl8ptO/4agBBJKu+cEv5JsmCNmIbP5NA==" saltValue="b63+BCJIfqnk/59GR9prQ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114</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177</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177</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8" t="s">
        <v>138</v>
      </c>
      <c r="C20" s="109"/>
      <c r="D20" s="110"/>
      <c r="E20" s="1"/>
    </row>
    <row r="21" spans="1:5" x14ac:dyDescent="0.25">
      <c r="A21" s="1"/>
      <c r="B21" s="68" t="s">
        <v>177</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139</v>
      </c>
      <c r="C24" s="12">
        <f>SUM(C21:C23)*(1+'Fane 15. Nøgletal'!C10)^4</f>
        <v>0</v>
      </c>
      <c r="D24" s="13" t="s">
        <v>3</v>
      </c>
      <c r="E24" s="1"/>
    </row>
    <row r="25" spans="1:5" x14ac:dyDescent="0.25">
      <c r="A25" s="1"/>
      <c r="B25" s="1"/>
      <c r="C25" s="1"/>
      <c r="D25" s="1"/>
      <c r="E25" s="1"/>
    </row>
    <row r="26" spans="1:5" ht="15" customHeight="1" x14ac:dyDescent="0.25">
      <c r="A26" s="1"/>
      <c r="B26" s="108" t="s">
        <v>178</v>
      </c>
      <c r="C26" s="109"/>
      <c r="D26" s="110"/>
      <c r="E26" s="1"/>
    </row>
    <row r="27" spans="1:5" ht="14.25" customHeight="1" x14ac:dyDescent="0.25">
      <c r="A27" s="1"/>
      <c r="B27" s="68" t="s">
        <v>177</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179</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bABWTK9lNaHhH1ON1WbVVjUoxyqgTwuxrjaPP/vu1QDm9coW6tM8XKVuoIZosJLjIAYWQkOwErrq1jr+KuVl+w==" saltValue="ZHLTcLg1BlTx6h97fOHsm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218</v>
      </c>
      <c r="C10" s="9">
        <v>0</v>
      </c>
      <c r="D10" s="14" t="s">
        <v>3</v>
      </c>
      <c r="E10" s="9">
        <v>0</v>
      </c>
      <c r="F10" s="14" t="s">
        <v>3</v>
      </c>
      <c r="G10" s="1"/>
    </row>
    <row r="11" spans="1:7" ht="28.5" customHeight="1" x14ac:dyDescent="0.25">
      <c r="A11" s="1"/>
      <c r="B11" s="20" t="s">
        <v>140</v>
      </c>
      <c r="C11" s="12">
        <f>SUM(C10:C10)</f>
        <v>0</v>
      </c>
      <c r="D11" s="13" t="s">
        <v>3</v>
      </c>
      <c r="E11" s="12">
        <f>SUM(E10:E10)</f>
        <v>0</v>
      </c>
      <c r="F11" s="13" t="s">
        <v>3</v>
      </c>
      <c r="G11" s="1"/>
    </row>
    <row r="12" spans="1:7" ht="27" customHeight="1" x14ac:dyDescent="0.25">
      <c r="A12" s="1"/>
      <c r="B12" s="20" t="s">
        <v>180</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0VgHm8Q5jhk5IG64SUJ139/H7ibmSHdC53OoDFbdOiZ5JePS98W9FNNrDzOvW2Ptk16cOPOoaN2I4qViVlP+Fw==" saltValue="RkawJXjoF8zJUuritDvC/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116</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181</v>
      </c>
      <c r="C8" s="109"/>
      <c r="D8" s="109"/>
      <c r="E8" s="109"/>
      <c r="F8" s="110"/>
      <c r="G8" s="1"/>
    </row>
    <row r="9" spans="1:7" x14ac:dyDescent="0.25">
      <c r="A9" s="1"/>
      <c r="B9" s="31" t="s">
        <v>18</v>
      </c>
      <c r="C9" s="128" t="s">
        <v>11</v>
      </c>
      <c r="D9" s="129"/>
      <c r="E9" s="128" t="s">
        <v>27</v>
      </c>
      <c r="F9" s="129"/>
      <c r="G9" s="1"/>
    </row>
    <row r="10" spans="1:7" x14ac:dyDescent="0.25">
      <c r="A10" s="1"/>
      <c r="B10" s="70" t="s">
        <v>219</v>
      </c>
      <c r="C10" s="9">
        <v>0</v>
      </c>
      <c r="D10" s="14" t="s">
        <v>3</v>
      </c>
      <c r="E10" s="9">
        <v>0</v>
      </c>
      <c r="F10" s="14" t="s">
        <v>3</v>
      </c>
      <c r="G10" s="1"/>
    </row>
    <row r="11" spans="1:7" x14ac:dyDescent="0.25">
      <c r="A11" s="1"/>
      <c r="B11" s="33" t="s">
        <v>141</v>
      </c>
      <c r="C11" s="12">
        <f>SUM(C10:C10)</f>
        <v>0</v>
      </c>
      <c r="D11" s="13" t="s">
        <v>3</v>
      </c>
      <c r="E11" s="12">
        <f>SUM(E10:E10)</f>
        <v>0</v>
      </c>
      <c r="F11" s="13" t="s">
        <v>3</v>
      </c>
      <c r="G11" s="1"/>
    </row>
    <row r="12" spans="1:7" x14ac:dyDescent="0.25">
      <c r="A12" s="1"/>
      <c r="B12" s="33" t="s">
        <v>212</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edMJmxmtq9BrWCq0tmlUdvzoF97Ve5TDQuiGvN3HxZDsX7xzu+sG8Z4/18/ZeOE5ARt446ulQZRyyjwe47m9Q==" saltValue="KTCVaFRs2y4Td+r9Jh7B0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153</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79020773.333482295</v>
      </c>
      <c r="D9" s="8" t="s">
        <v>3</v>
      </c>
      <c r="E9" s="1"/>
    </row>
    <row r="10" spans="1:5" ht="17.25" customHeight="1" x14ac:dyDescent="0.25">
      <c r="A10" s="1"/>
      <c r="B10" s="64" t="s">
        <v>35</v>
      </c>
      <c r="C10" s="7">
        <f>'Fane 11.1. Varige tillæg'!C27</f>
        <v>535118.99759100005</v>
      </c>
      <c r="D10" s="8" t="s">
        <v>3</v>
      </c>
      <c r="E10" s="1"/>
    </row>
    <row r="11" spans="1:5" ht="17.25" customHeight="1" x14ac:dyDescent="0.25">
      <c r="A11" s="1"/>
      <c r="B11" s="64" t="s">
        <v>36</v>
      </c>
      <c r="C11" s="9">
        <f>'Fane 11.1. Varige tillæg'!E27</f>
        <v>1732361.4657506666</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6535212.440064922</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-555893.75336952158</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87267572.48351936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3023606.9160033455</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355743.21148719999</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-7114.8642297440001</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348628.34725745599</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152</v>
      </c>
      <c r="C33" s="28"/>
      <c r="D33" s="19"/>
      <c r="E33" s="1"/>
    </row>
    <row r="34" spans="1:5" x14ac:dyDescent="0.25">
      <c r="A34" s="1"/>
      <c r="B34" s="31" t="s">
        <v>152</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Skattesagen'!C12</f>
        <v>-581904.16666666698</v>
      </c>
      <c r="D36" s="11" t="s">
        <v>3</v>
      </c>
      <c r="E36" s="1"/>
    </row>
    <row r="37" spans="1:5" x14ac:dyDescent="0.25">
      <c r="A37" s="1"/>
      <c r="B37" s="33" t="s">
        <v>71</v>
      </c>
      <c r="C37" s="45">
        <f>SUM(C34,C32,C24,C30,C22,C20,C36)</f>
        <v>90057903.580113485</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Dcvaf5/iPEHQlgsm5pesMWQmGZ9oQCrEv5zEPmIpmtacSVZMbkVxIJJ5UgbnM1i91BWvI3E8+iCzpl85aZ5qoQ==" saltValue="+uQkJJqsYRar7Fp8wmXpu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117</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120</v>
      </c>
      <c r="C9" s="61">
        <v>8.0799999999999997E-2</v>
      </c>
      <c r="D9" s="1"/>
    </row>
    <row r="10" spans="1:4" x14ac:dyDescent="0.25">
      <c r="A10" s="1"/>
      <c r="B10" s="59" t="s">
        <v>225</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211</v>
      </c>
      <c r="C15" s="60">
        <v>0</v>
      </c>
      <c r="D15" s="1"/>
    </row>
    <row r="16" spans="1:4" x14ac:dyDescent="0.25">
      <c r="A16" s="1"/>
      <c r="B16" s="59" t="s">
        <v>226</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TAsBqaLPdbTFySVmsk+c0Y9luw4D9NZzHNI3yAk77viXDNtnahJSK04Gol9G+RqclJB4YpEV5r58IYQTn8rb4A==" saltValue="QX1pi3YkaqhYwMtErzBQs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154</v>
      </c>
      <c r="C3" s="104"/>
      <c r="D3" s="104"/>
      <c r="E3" s="1"/>
    </row>
    <row r="4" spans="1:5" ht="15" customHeight="1" x14ac:dyDescent="0.25">
      <c r="A4" s="1"/>
      <c r="B4" s="104"/>
      <c r="C4" s="104"/>
      <c r="D4" s="104"/>
      <c r="E4" s="1"/>
    </row>
    <row r="5" spans="1:5" x14ac:dyDescent="0.25">
      <c r="A5" s="1"/>
      <c r="B5" s="105" t="s">
        <v>142</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87267572.48351936</v>
      </c>
      <c r="D9" s="8" t="s">
        <v>3</v>
      </c>
      <c r="E9" s="1"/>
    </row>
    <row r="10" spans="1:5" ht="15" customHeight="1" x14ac:dyDescent="0.25">
      <c r="A10" s="1"/>
      <c r="B10" s="26" t="s">
        <v>19</v>
      </c>
      <c r="C10" s="7">
        <f>C9*'Fane 15. Nøgletal'!C10</f>
        <v>5785840.0556573337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-580894.51903356251</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92472518.020143121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3180767.0824343674</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Skattesagen'!C13</f>
        <v>-581904.16666666698</v>
      </c>
      <c r="D22" s="11" t="s">
        <v>3</v>
      </c>
      <c r="E22" s="1"/>
    </row>
    <row r="23" spans="1:5" x14ac:dyDescent="0.25">
      <c r="A23" s="1"/>
      <c r="B23" s="33" t="s">
        <v>81</v>
      </c>
      <c r="C23" s="12">
        <f>SUM(C14,C16,C18,C20,C22)</f>
        <v>95071380.935910821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SujFuH0LSomdcqED24w1L8xyUI7YARBzCYqVFJloKz0JhuBt8PCS83HPzdQec6x5hkcalAkDMVLm/s5naqp7w==" saltValue="6s6Hojo1bOMY9+6rO1A7P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05" t="s">
        <v>142</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2.2. Økonomisk ramme 2026'!C14</f>
        <v>92472518.020143121</v>
      </c>
      <c r="D9" s="8" t="s">
        <v>3</v>
      </c>
      <c r="E9" s="1"/>
    </row>
    <row r="10" spans="1:5" ht="15" customHeight="1" x14ac:dyDescent="0.25">
      <c r="A10" s="1"/>
      <c r="B10" s="26" t="s">
        <v>19</v>
      </c>
      <c r="C10" s="7">
        <f>SUM(C9:C9)*'Fane 15. Nøgletal'!C10</f>
        <v>6130927.9447354889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-607019.66913257795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97996426.295746028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3348347.9678997658</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Skattesagen'!C14</f>
        <v>-581904.16666666698</v>
      </c>
      <c r="D22" s="11" t="s">
        <v>3</v>
      </c>
      <c r="E22" s="1"/>
    </row>
    <row r="23" spans="1:5" x14ac:dyDescent="0.25">
      <c r="A23" s="1"/>
      <c r="B23" s="33" t="s">
        <v>128</v>
      </c>
      <c r="C23" s="12">
        <f>SUM(C14,C16,C18,C20,C22)</f>
        <v>100762870.09697913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GaY3Zbi/3iLSNoiY7As/wHQG9XKyU/+UOrQuw+LgzKDNYQIsezzyrXSLkRdONKg5JOezRlPiw2jXT6PF3TpnQ==" saltValue="G+f7eAebitVmysazUAumC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142</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157</v>
      </c>
      <c r="C9" s="7">
        <f>'Fane 2.3. Økonomisk ramme 2027'!C14</f>
        <v>97996426.295746028</v>
      </c>
      <c r="D9" s="8" t="s">
        <v>3</v>
      </c>
      <c r="E9" s="1"/>
    </row>
    <row r="10" spans="1:5" ht="15" customHeight="1" x14ac:dyDescent="0.25">
      <c r="A10" s="1"/>
      <c r="B10" s="26" t="s">
        <v>19</v>
      </c>
      <c r="C10" s="7">
        <f>SUM(C9:C9)*'Fane 15. Nøgletal'!C10</f>
        <v>6497163.0634079613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-634319.7717321465</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103859269.58742183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3527038.3997715204</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Skattesagen'!C15</f>
        <v>-581904.16666666698</v>
      </c>
      <c r="D20" s="11" t="s">
        <v>3</v>
      </c>
      <c r="E20" s="1"/>
    </row>
    <row r="21" spans="1:5" x14ac:dyDescent="0.25">
      <c r="A21" s="1"/>
      <c r="B21" s="33" t="s">
        <v>158</v>
      </c>
      <c r="C21" s="12">
        <f>SUM(C14,C16,C18,C20)</f>
        <v>106804403.82052669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UyubVK3kNZzDY7CuouaS8tRdohn+x1icFGwp0LSQ3iWYDdB3l5/2MD5IXNb5RUG+wvBXkKOmUODK++b5+uLZw==" saltValue="OynOB7XU55EhHeF1LACSM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159</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160</v>
      </c>
      <c r="C8" s="28"/>
      <c r="D8" s="19"/>
      <c r="E8" s="1"/>
    </row>
    <row r="9" spans="1:5" ht="15" customHeight="1" x14ac:dyDescent="0.25">
      <c r="A9" s="1"/>
      <c r="B9" s="29" t="s">
        <v>64</v>
      </c>
      <c r="C9" s="7">
        <v>73481639.790045023</v>
      </c>
      <c r="D9" s="8" t="s">
        <v>3</v>
      </c>
      <c r="E9" s="1"/>
    </row>
    <row r="10" spans="1:5" ht="15" customHeight="1" x14ac:dyDescent="0.25">
      <c r="A10" s="1"/>
      <c r="B10" s="64" t="s">
        <v>35</v>
      </c>
      <c r="C10" s="7">
        <v>62504.825599999996</v>
      </c>
      <c r="D10" s="8" t="s">
        <v>3</v>
      </c>
      <c r="E10" s="1"/>
    </row>
    <row r="11" spans="1:5" ht="15" customHeight="1" x14ac:dyDescent="0.25">
      <c r="A11" s="1"/>
      <c r="B11" s="64" t="s">
        <v>36</v>
      </c>
      <c r="C11" s="9">
        <v>44707.292000000001</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5945979.2341377176</v>
      </c>
      <c r="D16" s="8" t="s">
        <v>3</v>
      </c>
      <c r="E16" s="1"/>
    </row>
    <row r="17" spans="1:5" ht="15" customHeight="1" x14ac:dyDescent="0.25">
      <c r="A17" s="1"/>
      <c r="B17" s="64" t="s">
        <v>10</v>
      </c>
      <c r="C17" s="38">
        <v>0</v>
      </c>
      <c r="D17" s="8" t="s">
        <v>3</v>
      </c>
      <c r="E17" s="1"/>
    </row>
    <row r="18" spans="1:5" ht="15" customHeight="1" x14ac:dyDescent="0.25">
      <c r="A18" s="1"/>
      <c r="B18" s="64" t="s">
        <v>22</v>
      </c>
      <c r="C18" s="38">
        <v>-514057.80830044253</v>
      </c>
      <c r="D18" s="8" t="s">
        <v>3</v>
      </c>
      <c r="E18" s="1"/>
    </row>
    <row r="19" spans="1:5" ht="15" customHeight="1" x14ac:dyDescent="0.25">
      <c r="A19" s="1"/>
      <c r="B19" s="64" t="s">
        <v>23</v>
      </c>
      <c r="C19" s="38">
        <v>0</v>
      </c>
      <c r="D19" s="8" t="s">
        <v>3</v>
      </c>
      <c r="E19" s="43"/>
    </row>
    <row r="20" spans="1:5" ht="15" customHeight="1" x14ac:dyDescent="0.25">
      <c r="A20" s="1"/>
      <c r="B20" s="82" t="s">
        <v>21</v>
      </c>
      <c r="C20" s="10">
        <v>79020773.333482295</v>
      </c>
      <c r="D20" s="11" t="s">
        <v>3</v>
      </c>
      <c r="E20" s="1"/>
    </row>
    <row r="21" spans="1:5" ht="15" customHeight="1" x14ac:dyDescent="0.25">
      <c r="A21" s="1"/>
      <c r="B21" s="33" t="s">
        <v>12</v>
      </c>
      <c r="C21" s="28"/>
      <c r="D21" s="19"/>
      <c r="E21" s="1"/>
    </row>
    <row r="22" spans="1:5" ht="15" customHeight="1" x14ac:dyDescent="0.25">
      <c r="A22" s="1"/>
      <c r="B22" s="31" t="s">
        <v>12</v>
      </c>
      <c r="C22" s="10">
        <v>2426024.0621913085</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38">
        <v>516012.64981951995</v>
      </c>
      <c r="D26" s="8" t="s">
        <v>3</v>
      </c>
      <c r="E26" s="1"/>
    </row>
    <row r="27" spans="1:5" ht="15" customHeight="1" x14ac:dyDescent="0.25">
      <c r="A27" s="1"/>
      <c r="B27" s="64" t="s">
        <v>38</v>
      </c>
      <c r="C27" s="38">
        <v>0</v>
      </c>
      <c r="D27" s="8" t="s">
        <v>3</v>
      </c>
      <c r="E27" s="1"/>
    </row>
    <row r="28" spans="1:5" ht="15" customHeight="1" x14ac:dyDescent="0.25">
      <c r="A28" s="1"/>
      <c r="B28" s="64" t="s">
        <v>92</v>
      </c>
      <c r="C28" s="38">
        <v>-10320.2529963904</v>
      </c>
      <c r="D28" s="8" t="s">
        <v>3</v>
      </c>
      <c r="E28" s="1"/>
    </row>
    <row r="29" spans="1:5" ht="15" customHeight="1" x14ac:dyDescent="0.25">
      <c r="A29" s="1"/>
      <c r="B29" s="64" t="s">
        <v>93</v>
      </c>
      <c r="C29" s="38">
        <v>0</v>
      </c>
      <c r="D29" s="8" t="s">
        <v>3</v>
      </c>
      <c r="E29" s="1"/>
    </row>
    <row r="30" spans="1:5" ht="15" customHeight="1" x14ac:dyDescent="0.25">
      <c r="A30" s="1"/>
      <c r="B30" s="67" t="s">
        <v>43</v>
      </c>
      <c r="C30" s="10">
        <v>505692.39682312956</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126</v>
      </c>
      <c r="C33" s="28"/>
      <c r="D33" s="19"/>
      <c r="E33" s="1"/>
    </row>
    <row r="34" spans="1:5" ht="15.4" customHeight="1" x14ac:dyDescent="0.25">
      <c r="A34" s="1"/>
      <c r="B34" s="31" t="s">
        <v>126</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81952489.792496741</v>
      </c>
      <c r="D37" s="30" t="s">
        <v>3</v>
      </c>
      <c r="E37" s="1"/>
    </row>
    <row r="38" spans="1:5" ht="30" customHeight="1" x14ac:dyDescent="0.25">
      <c r="A38" s="1"/>
      <c r="B38" s="107" t="s">
        <v>224</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yd/9nZAwfpkVwDYc2JQt5nIHIlW5ELCsqpXAjYYqRyvnrJN6qE38vp4xpmn0vDJlwPlhnh/+F0iKd34t8X99tA==" saltValue="fE8tvrQlF4zNa5aDaVz1u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121</v>
      </c>
      <c r="C8" s="109"/>
      <c r="D8" s="110"/>
      <c r="E8" s="1"/>
    </row>
    <row r="9" spans="1:5" x14ac:dyDescent="0.25">
      <c r="A9" s="1"/>
      <c r="B9" s="65" t="s">
        <v>88</v>
      </c>
      <c r="C9" s="23">
        <v>25635335.199513644</v>
      </c>
      <c r="D9" s="14" t="s">
        <v>3</v>
      </c>
      <c r="E9" s="1"/>
    </row>
    <row r="10" spans="1:5" x14ac:dyDescent="0.25">
      <c r="A10" s="1"/>
      <c r="B10" s="65" t="s">
        <v>123</v>
      </c>
      <c r="C10" s="23">
        <f>('Fane 3. Omkostninger i ØR2024'!C10+'Fane 3. Omkostninger i ØR2024'!C12+'Fane 3. Omkostninger i ØR2024'!C14)*(1+'Fane 15. Nøgletal'!C9)</f>
        <v>67555.215508479989</v>
      </c>
      <c r="D10" s="14" t="s">
        <v>3</v>
      </c>
      <c r="E10" s="1"/>
    </row>
    <row r="11" spans="1:5" x14ac:dyDescent="0.25">
      <c r="A11" s="1"/>
      <c r="B11" s="65" t="s">
        <v>129</v>
      </c>
      <c r="C11" s="23">
        <f>C9*'Fane 15. Nøgletal'!C21+C10*'Fane 15. Nøgletal'!C21</f>
        <v>514057.80830044247</v>
      </c>
      <c r="D11" s="14" t="s">
        <v>3</v>
      </c>
      <c r="E11" s="1"/>
    </row>
    <row r="12" spans="1:5" x14ac:dyDescent="0.25">
      <c r="A12" s="1"/>
      <c r="B12" s="33"/>
      <c r="C12" s="28"/>
      <c r="D12" s="19"/>
      <c r="E12" s="1"/>
    </row>
    <row r="13" spans="1:5" x14ac:dyDescent="0.25">
      <c r="A13" s="1"/>
      <c r="B13" s="1"/>
      <c r="C13" s="1"/>
      <c r="D13" s="1"/>
      <c r="E13" s="1"/>
    </row>
    <row r="14" spans="1:5" x14ac:dyDescent="0.25">
      <c r="A14" s="1"/>
      <c r="B14" s="108" t="s">
        <v>122</v>
      </c>
      <c r="C14" s="109"/>
      <c r="D14" s="110"/>
      <c r="E14" s="1"/>
    </row>
    <row r="15" spans="1:5" x14ac:dyDescent="0.25">
      <c r="A15" s="1"/>
      <c r="B15" s="65" t="s">
        <v>131</v>
      </c>
      <c r="C15" s="23">
        <f>(C9+C10-C11)*(1+'Fane 15. Nøgletal'!C9)</f>
        <v>27224090.281344794</v>
      </c>
      <c r="D15" s="14" t="s">
        <v>3</v>
      </c>
      <c r="E15" s="1"/>
    </row>
    <row r="16" spans="1:5" x14ac:dyDescent="0.25">
      <c r="A16" s="1"/>
      <c r="B16" s="65" t="s">
        <v>182</v>
      </c>
      <c r="C16" s="23">
        <f>('Fane 2.1. Økonomisk ramme 2025'!C10+'Fane 2.1. Økonomisk ramme 2025'!C12+'Fane 2.1. Økonomisk ramme 2025'!C14)*(1+'Fane 15. Nøgletal'!C10)</f>
        <v>570597.38713128341</v>
      </c>
      <c r="D16" s="14" t="s">
        <v>3</v>
      </c>
      <c r="E16" s="1"/>
    </row>
    <row r="17" spans="1:5" x14ac:dyDescent="0.25">
      <c r="A17" s="1"/>
      <c r="B17" s="65" t="s">
        <v>130</v>
      </c>
      <c r="C17" s="23">
        <f>C15*'Fane 15. Nøgletal'!C21+C16*'Fane 15. Nøgletal'!C21</f>
        <v>555893.75336952158</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143</v>
      </c>
      <c r="C20" s="109"/>
      <c r="D20" s="110"/>
      <c r="E20" s="1"/>
    </row>
    <row r="21" spans="1:5" x14ac:dyDescent="0.25">
      <c r="A21" s="1"/>
      <c r="B21" s="65" t="s">
        <v>187</v>
      </c>
      <c r="C21" s="23">
        <f>(C15+C16-C17)*(1+'Fane 15. Nøgletal'!C10)</f>
        <v>29044725.951678123</v>
      </c>
      <c r="D21" s="14" t="s">
        <v>3</v>
      </c>
      <c r="E21" s="1"/>
    </row>
    <row r="22" spans="1:5" x14ac:dyDescent="0.25">
      <c r="A22" s="1"/>
      <c r="B22" s="65" t="s">
        <v>194</v>
      </c>
      <c r="C22" s="23">
        <f>C21*'Fane 15. Nøgletal'!C21</f>
        <v>580894.51903356251</v>
      </c>
      <c r="D22" s="14" t="s">
        <v>3</v>
      </c>
      <c r="E22" s="1"/>
    </row>
    <row r="23" spans="1:5" x14ac:dyDescent="0.25">
      <c r="A23" s="1"/>
      <c r="B23" s="33"/>
      <c r="C23" s="28"/>
      <c r="D23" s="19"/>
      <c r="E23" s="1"/>
    </row>
    <row r="24" spans="1:5" x14ac:dyDescent="0.25">
      <c r="A24" s="1"/>
      <c r="B24" s="1"/>
      <c r="C24" s="1"/>
      <c r="D24" s="1"/>
      <c r="E24" s="1"/>
    </row>
    <row r="25" spans="1:5" x14ac:dyDescent="0.25">
      <c r="A25" s="1"/>
      <c r="B25" s="108" t="s">
        <v>185</v>
      </c>
      <c r="C25" s="109"/>
      <c r="D25" s="110"/>
      <c r="E25" s="1"/>
    </row>
    <row r="26" spans="1:5" x14ac:dyDescent="0.25">
      <c r="A26" s="1"/>
      <c r="B26" s="65" t="s">
        <v>188</v>
      </c>
      <c r="C26" s="23">
        <f>(C21-C22)*(1+'Fane 15. Nøgletal'!C10)</f>
        <v>30350983.456628896</v>
      </c>
      <c r="D26" s="14" t="s">
        <v>3</v>
      </c>
      <c r="E26" s="1"/>
    </row>
    <row r="27" spans="1:5" x14ac:dyDescent="0.25">
      <c r="A27" s="1"/>
      <c r="B27" s="65" t="s">
        <v>192</v>
      </c>
      <c r="C27" s="23">
        <f>C26*'Fane 15. Nøgletal'!C21</f>
        <v>607019.66913257795</v>
      </c>
      <c r="D27" s="14" t="s">
        <v>3</v>
      </c>
      <c r="E27" s="1"/>
    </row>
    <row r="28" spans="1:5" x14ac:dyDescent="0.25">
      <c r="A28" s="1"/>
      <c r="B28" s="33"/>
      <c r="C28" s="28"/>
      <c r="D28" s="19"/>
      <c r="E28" s="1"/>
    </row>
    <row r="29" spans="1:5" x14ac:dyDescent="0.25">
      <c r="A29" s="1"/>
      <c r="B29" s="1"/>
      <c r="C29" s="1"/>
      <c r="D29" s="1"/>
      <c r="E29" s="1"/>
    </row>
    <row r="30" spans="1:5" x14ac:dyDescent="0.25">
      <c r="A30" s="1"/>
      <c r="B30" s="108" t="s">
        <v>186</v>
      </c>
      <c r="C30" s="109"/>
      <c r="D30" s="110"/>
      <c r="E30" s="1"/>
    </row>
    <row r="31" spans="1:5" x14ac:dyDescent="0.25">
      <c r="A31" s="1"/>
      <c r="B31" s="65" t="s">
        <v>189</v>
      </c>
      <c r="C31" s="23">
        <f>(C26-C27)*(1+'Fane 15. Nøgletal'!C10)</f>
        <v>31715988.586607322</v>
      </c>
      <c r="D31" s="14" t="s">
        <v>3</v>
      </c>
      <c r="E31" s="1"/>
    </row>
    <row r="32" spans="1:5" x14ac:dyDescent="0.25">
      <c r="A32" s="1"/>
      <c r="B32" s="65" t="s">
        <v>193</v>
      </c>
      <c r="C32" s="23">
        <f>C31*'Fane 15. Nøgletal'!C21</f>
        <v>634319.7717321465</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si85gDoI4iValpk91xLmi86Dj6N5PrxegzzQfBzQg/gav+QzyexGyiEe9H0hv/1VVUDMQi+4bUsEdgbzyYjuA==" saltValue="MX2RGudnmcOMJfuvn/HHrw=="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145</v>
      </c>
      <c r="C8" s="109"/>
      <c r="D8" s="110"/>
      <c r="E8" s="1"/>
    </row>
    <row r="9" spans="1:5" x14ac:dyDescent="0.25">
      <c r="A9" s="1"/>
      <c r="B9" s="65" t="s">
        <v>132</v>
      </c>
      <c r="C9" s="23">
        <v>57469042.757147282</v>
      </c>
      <c r="D9" s="14" t="s">
        <v>3</v>
      </c>
      <c r="E9" s="1"/>
    </row>
    <row r="10" spans="1:5" x14ac:dyDescent="0.25">
      <c r="A10" s="1"/>
      <c r="B10" s="65" t="s">
        <v>124</v>
      </c>
      <c r="C10" s="23">
        <f>('Fane 3. Omkostninger i ØR2024'!C11+'Fane 3. Omkostninger i ØR2024'!C13+'Fane 3. Omkostninger i ØR2024'!C15)*(1+'Fane 15. Nøgletal'!C9)</f>
        <v>48319.6411936</v>
      </c>
      <c r="D10" s="14" t="s">
        <v>3</v>
      </c>
      <c r="E10" s="1"/>
    </row>
    <row r="11" spans="1:5" x14ac:dyDescent="0.25">
      <c r="A11" s="1"/>
      <c r="B11" s="65" t="s">
        <v>133</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144</v>
      </c>
      <c r="C14" s="109"/>
      <c r="D14" s="110"/>
      <c r="E14" s="1"/>
    </row>
    <row r="15" spans="1:5" x14ac:dyDescent="0.25">
      <c r="A15" s="1"/>
      <c r="B15" s="65" t="s">
        <v>134</v>
      </c>
      <c r="C15" s="23">
        <f>(C9+C10-C11)*(1+'Fane 15. Nøgletal'!C9)</f>
        <v>62164765.280126825</v>
      </c>
      <c r="D15" s="14" t="s">
        <v>3</v>
      </c>
      <c r="E15" s="1"/>
    </row>
    <row r="16" spans="1:5" x14ac:dyDescent="0.25">
      <c r="A16" s="1"/>
      <c r="B16" s="65" t="s">
        <v>183</v>
      </c>
      <c r="C16" s="23">
        <f>('Fane 2.1. Økonomisk ramme 2025'!C11+'Fane 2.1. Økonomisk ramme 2025'!C13+'Fane 2.1. Økonomisk ramme 2025'!C15)*(1+'Fane 15. Nøgletal'!C10)</f>
        <v>1847217.0309299359</v>
      </c>
      <c r="D16" s="14" t="s">
        <v>3</v>
      </c>
      <c r="E16" s="1"/>
    </row>
    <row r="17" spans="1:5" x14ac:dyDescent="0.25">
      <c r="A17" s="1"/>
      <c r="B17" s="65" t="s">
        <v>135</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190</v>
      </c>
      <c r="C21" s="23">
        <f>(C15+C16-C17)*(1+'Fane 15. Nøgletal'!C10)</f>
        <v>68255976.738279834</v>
      </c>
      <c r="D21" s="14" t="s">
        <v>3</v>
      </c>
      <c r="E21" s="1"/>
    </row>
    <row r="22" spans="1:5" x14ac:dyDescent="0.25">
      <c r="A22" s="1"/>
      <c r="B22" s="65" t="s">
        <v>195</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136</v>
      </c>
      <c r="C25" s="109"/>
      <c r="D25" s="110"/>
      <c r="E25" s="1"/>
    </row>
    <row r="26" spans="1:5" x14ac:dyDescent="0.25">
      <c r="A26" s="1"/>
      <c r="B26" s="65" t="s">
        <v>191</v>
      </c>
      <c r="C26" s="23">
        <f>(C21-C22)*(1+'Fane 15. Nøgletal'!C10)</f>
        <v>72781347.996027783</v>
      </c>
      <c r="D26" s="14" t="s">
        <v>3</v>
      </c>
      <c r="E26" s="1"/>
    </row>
    <row r="27" spans="1:5" x14ac:dyDescent="0.25">
      <c r="A27" s="1"/>
      <c r="B27" s="65" t="s">
        <v>196</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161</v>
      </c>
      <c r="C30" s="109"/>
      <c r="D30" s="110"/>
      <c r="E30" s="1"/>
    </row>
    <row r="31" spans="1:5" x14ac:dyDescent="0.25">
      <c r="A31" s="1"/>
      <c r="B31" s="65" t="s">
        <v>198</v>
      </c>
      <c r="C31" s="23">
        <f>(C26-C27)*(1+'Fane 15. Nøgletal'!C10)</f>
        <v>77606751.36816442</v>
      </c>
      <c r="D31" s="14" t="s">
        <v>3</v>
      </c>
      <c r="E31" s="1"/>
    </row>
    <row r="32" spans="1:5" x14ac:dyDescent="0.25">
      <c r="A32" s="1"/>
      <c r="B32" s="65" t="s">
        <v>197</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grLiYyenbQ950SG4x5nJEM3V20e2gRio3oGNXyiCnP+gBYLRNu+KPKsY27dqFn0mNQ5HemCsmuCxHsHRvW9Ng==" saltValue="YLtd8jxW9qyifW3mQxw0h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162</v>
      </c>
      <c r="C9" s="22">
        <v>0</v>
      </c>
      <c r="D9" s="1"/>
    </row>
    <row r="10" spans="1:4" x14ac:dyDescent="0.25">
      <c r="A10" s="1"/>
      <c r="B10" s="33"/>
      <c r="C10" s="19"/>
      <c r="D10" s="1"/>
    </row>
    <row r="11" spans="1:4" x14ac:dyDescent="0.25">
      <c r="A11" s="1"/>
      <c r="B11" s="112" t="s">
        <v>216</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a4NtjxlT8nT1yZkTDI4gF4BOmQhmm69B540ZGd25RwkpuZVatbs1w2eLK/lvHaj85nfebcHnSdGuFaq7PGRaUw==" saltValue="Y/suW2EGBKOponPyEI7JF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2024-09-30T08:48:55Z</dcterms:modified>
</cp:coreProperties>
</file>