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Novafos Spildevand Hørsholm AS (S051)\ØR2025\"/>
    </mc:Choice>
  </mc:AlternateContent>
  <xr:revisionPtr revIDLastSave="0" documentId="13_ncr:1_{07DAAFC9-F5EC-4016-82DB-42A385FEC714}"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ØR2024'!$B$8:$D$40</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<sst xmlns="http://schemas.openxmlformats.org/spreadsheetml/2006/main" count="553" uniqueCount="238">
  <si>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</si>
  <si>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</si>
  <si>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</si>
  <si>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</si>
  <si>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</si>
  <si>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</si>
  <si>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</si>
  <si>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</si>
  <si>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</si>
  <si>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</si>
  <si>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</si>
  <si>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</si>
  <si>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</si>
  <si>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</si>
  <si>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</si>
  <si>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</si>
  <si>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</si>
  <si>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</si>
  <si>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</si>
  <si>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</si>
  <si>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</si>
  <si>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</si>
  <si>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</si>
  <si>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</si>
  <si>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</si>
  <si>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</si>
  <si>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</si>
  <si>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</si>
  <si>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</si>
  <si>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</si>
  <si>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</si>
  <si>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</si>
  <si>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</si>
  <si>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</si>
  <si>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</si>
  <si>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</si>
  <si>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</si>
  <si>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</si>
  <si>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</si>
  <si>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</si>
  <si>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</si>
  <si>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</si>
  <si>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</si>
  <si>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</si>
  <si>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</si>
  <si>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</si>
  <si>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</si>
  <si>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</si>
  <si>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</si>
  <si>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</si>
  <si>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</si>
  <si>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</si>
  <si>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</si>
  <si>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</si>
  <si>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</si>
  <si>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</si>
  <si>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</si>
  <si>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</si>
  <si>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</si>
  <si>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</si>
  <si>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</si>
  <si>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</si>
  <si>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</si>
  <si>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</si>
  <si>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</si>
  <si>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</si>
  <si>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</si>
  <si>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</si>
  <si>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</si>
  <si>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</si>
  <si>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</si>
  <si>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</si>
  <si>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</si>
  <si>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</si>
  <si>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</si>
  <si>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</si>
  <si>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</si>
  <si>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</si>
  <si>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</si>
  <si>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</si>
  <si>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</si>
  <si>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</si>
  <si>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</si>
  <si>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</si>
  <si>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</si>
  <si>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</si>
  <si>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</si>
  <si>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</si>
  <si>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</si>
  <si>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</si>
  <si>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</si>
  <si>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</si>
  <si>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</si>
  <si>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</si>
  <si>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</si>
  <si>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</si>
  <si>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</si>
  <si>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</si>
  <si>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</si>
  <si>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</si>
  <si>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</si>
  <si>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</si>
  <si>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</si>
  <si>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</si>
  <si>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</si>
  <si>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</si>
  <si>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</si>
  <si>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</si>
  <si>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</si>
  <si>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</si>
  <si>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</si>
  <si>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</si>
  <si>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</si>
  <si>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</si>
  <si>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</si>
  <si>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</si>
  <si>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</si>
  <si>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</si>
  <si>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</si>
  <si>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</si>
  <si>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</si>
  <si>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</si>
  <si>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</si>
  <si>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</si>
  <si>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</si>
  <si>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</si>
  <si>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</si>
  <si>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</si>
  <si>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</si>
  <si>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</si>
  <si>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</si>
  <si>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</si>
  <si>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</si>
  <si>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</si>
  <si>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</si>
  <si>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</si>
  <si>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</si>
  <si>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</si>
  <si>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</si>
  <si>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</si>
  <si>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</si>
  <si>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</si>
  <si>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</si>
  <si>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</si>
  <si>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</si>
  <si>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</si>
  <si>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</si>
  <si>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</si>
  <si>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</si>
  <si>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</si>
  <si>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</si>
  <si>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</si>
  <si>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</si>
  <si>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</si>
  <si>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</si>
  <si>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</si>
  <si>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</si>
  <si>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</si>
  <si>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</si>
  <si>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</si>
  <si>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</si>
  <si>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</si>
  <si>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</si>
  <si>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</si>
  <si>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</si>
  <si>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</si>
  <si>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</si>
  <si>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</si>
  <si>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</si>
  <si>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</si>
  <si>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</si>
  <si>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</si>
  <si>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</si>
  <si>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</si>
  <si>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</si>
  <si>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</si>
  <si>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</si>
  <si>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</si>
  <si>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</si>
  <si>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</si>
  <si>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</si>
  <si>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</si>
  <si>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</si>
  <si>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</si>
  <si>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</si>
  <si>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</si>
  <si>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</si>
  <si>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</si>
  <si>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</si>
  <si>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</si>
  <si>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</si>
  <si>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</si>
  <si>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</si>
  <si>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</si>
  <si>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</si>
  <si>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</si>
  <si>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</si>
  <si>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</si>
  <si>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</si>
  <si>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</si>
  <si>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</si>
  <si>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</si>
  <si>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</si>
  <si>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</si>
  <si>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</si>
  <si>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</si>
  <si>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</si>
  <si>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</si>
  <si>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</si>
  <si>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</si>
  <si>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</si>
  <si>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</si>
  <si>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</si>
  <si>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Justering af den økonomiske ramme</t>
  </si>
  <si>
    <t>Justering af den økonomiske ramme for stigende el-omkostninger</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</si>
  <si>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</si>
  <si>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</si>
  <si>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</si>
  <si>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</si>
  <si>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</si>
  <si>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</si>
  <si>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</si>
  <si>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</si>
  <si>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</si>
  <si>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</si>
  <si>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</si>
  <si>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</si>
  <si>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</si>
  <si>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Spildevandsafgift</t>
  </si>
  <si>
    <t>Afgift til Forsyningssekretariatet</t>
  </si>
  <si>
    <t>Køb af ydelser og produkter fra andre vandselskaber reguleret af vandsektorloven</t>
  </si>
  <si>
    <t>Ejendomsskatter</t>
  </si>
  <si>
    <t>Erstatninger</t>
  </si>
  <si>
    <t>Gebyr til Miljøstyrelsen</t>
  </si>
  <si>
    <t>Til statusmeddelelse for 2025</t>
  </si>
  <si>
    <t>SHØ Ignition</t>
  </si>
  <si>
    <t>SHØ Stiketableringer og byggemodninger</t>
  </si>
  <si>
    <t>SHØ Områdeplan Usserød 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</si>
</sst>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6" t="s">
        <v>4</v>
      </c>
      <c r="D6" s="86"/>
      <c r="E6" s="86"/>
      <c r="F6" s="86"/>
      <c r="G6" s="3"/>
    </row>
    <row r="7" spans="1:7" ht="15" customHeight="1" x14ac:dyDescent="0.25">
      <c r="A7" s="1"/>
      <c r="B7" s="3"/>
      <c r="C7" s="86"/>
      <c r="D7" s="86"/>
      <c r="E7" s="86"/>
      <c r="F7" s="86"/>
      <c r="G7" s="3"/>
    </row>
    <row r="8" spans="1:7" ht="15.75" x14ac:dyDescent="0.25">
      <c r="A8" s="1"/>
      <c r="B8" s="4"/>
      <c r="C8" s="94" t="s">
        <v>234</v>
      </c>
      <c r="D8" s="94"/>
      <c r="E8" s="94"/>
      <c r="F8" s="94"/>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3" t="s">
        <v>5</v>
      </c>
      <c r="D11" s="93"/>
      <c r="E11" s="93"/>
      <c r="F11" s="93"/>
      <c r="G11" s="5"/>
    </row>
    <row r="12" spans="1:7" x14ac:dyDescent="0.25">
      <c r="A12" s="1"/>
      <c r="B12" s="1"/>
      <c r="C12" s="1"/>
      <c r="D12" s="1"/>
      <c r="E12" s="1"/>
      <c r="F12" s="1"/>
      <c r="G12" s="5"/>
    </row>
    <row r="13" spans="1:7" x14ac:dyDescent="0.25">
      <c r="A13" s="1"/>
      <c r="B13" s="6" t="s">
        <v>6</v>
      </c>
      <c r="C13" s="98" t="s">
        <v>127</v>
      </c>
      <c r="D13" s="99"/>
      <c r="E13" s="99"/>
      <c r="F13" s="100"/>
      <c r="G13" s="5"/>
    </row>
    <row r="14" spans="1:7" x14ac:dyDescent="0.25">
      <c r="A14" s="1"/>
      <c r="B14" s="6" t="s">
        <v>16</v>
      </c>
      <c r="C14" s="83" t="s">
        <v>186</v>
      </c>
      <c r="D14" s="84"/>
      <c r="E14" s="84"/>
      <c r="F14" s="85"/>
      <c r="G14" s="5"/>
    </row>
    <row r="15" spans="1:7" x14ac:dyDescent="0.25">
      <c r="A15" s="1"/>
      <c r="B15" s="6" t="s">
        <v>30</v>
      </c>
      <c r="C15" s="83" t="s">
        <v>149</v>
      </c>
      <c r="D15" s="84"/>
      <c r="E15" s="84"/>
      <c r="F15" s="85"/>
      <c r="G15" s="5"/>
    </row>
    <row r="16" spans="1:7" x14ac:dyDescent="0.25">
      <c r="A16" s="1"/>
      <c r="B16" s="6" t="s">
        <v>31</v>
      </c>
      <c r="C16" s="83" t="s">
        <v>151</v>
      </c>
      <c r="D16" s="84"/>
      <c r="E16" s="84"/>
      <c r="F16" s="85"/>
      <c r="G16" s="5"/>
    </row>
    <row r="17" spans="1:8" x14ac:dyDescent="0.25">
      <c r="A17" s="1"/>
      <c r="B17" s="6" t="s">
        <v>61</v>
      </c>
      <c r="C17" s="83" t="s">
        <v>152</v>
      </c>
      <c r="D17" s="84"/>
      <c r="E17" s="84"/>
      <c r="F17" s="85"/>
      <c r="G17" s="5"/>
    </row>
    <row r="18" spans="1:8" x14ac:dyDescent="0.25">
      <c r="A18" s="1"/>
      <c r="B18" s="6" t="s">
        <v>53</v>
      </c>
      <c r="C18" s="95" t="s">
        <v>45</v>
      </c>
      <c r="D18" s="96"/>
      <c r="E18" s="96"/>
      <c r="F18" s="97"/>
      <c r="G18" s="5"/>
    </row>
    <row r="19" spans="1:8" x14ac:dyDescent="0.25">
      <c r="A19" s="1"/>
      <c r="B19" s="6" t="s">
        <v>54</v>
      </c>
      <c r="C19" s="95" t="s">
        <v>46</v>
      </c>
      <c r="D19" s="96"/>
      <c r="E19" s="96"/>
      <c r="F19" s="97"/>
      <c r="G19" s="5"/>
    </row>
    <row r="20" spans="1:8" x14ac:dyDescent="0.25">
      <c r="A20" s="1"/>
      <c r="B20" s="6" t="s">
        <v>7</v>
      </c>
      <c r="C20" s="95" t="s">
        <v>10</v>
      </c>
      <c r="D20" s="96"/>
      <c r="E20" s="96"/>
      <c r="F20" s="97"/>
      <c r="G20" s="5"/>
    </row>
    <row r="21" spans="1:8" x14ac:dyDescent="0.25">
      <c r="A21" s="1"/>
      <c r="B21" s="6" t="s">
        <v>55</v>
      </c>
      <c r="C21" s="87" t="s">
        <v>12</v>
      </c>
      <c r="D21" s="88"/>
      <c r="E21" s="88"/>
      <c r="F21" s="89"/>
      <c r="G21" s="5"/>
    </row>
    <row r="22" spans="1:8" x14ac:dyDescent="0.25">
      <c r="A22" s="1"/>
      <c r="B22" s="6" t="s">
        <v>39</v>
      </c>
      <c r="C22" s="90" t="s">
        <v>153</v>
      </c>
      <c r="D22" s="91"/>
      <c r="E22" s="91"/>
      <c r="F22" s="92"/>
      <c r="G22" s="5"/>
    </row>
    <row r="23" spans="1:8" x14ac:dyDescent="0.25">
      <c r="A23" s="1"/>
      <c r="B23" s="6" t="s">
        <v>8</v>
      </c>
      <c r="C23" s="90" t="s">
        <v>112</v>
      </c>
      <c r="D23" s="91"/>
      <c r="E23" s="91"/>
      <c r="F23" s="92"/>
      <c r="G23" s="5"/>
    </row>
    <row r="24" spans="1:8" x14ac:dyDescent="0.25">
      <c r="A24" s="1"/>
      <c r="B24" s="6" t="s">
        <v>9</v>
      </c>
      <c r="C24" s="90" t="s">
        <v>154</v>
      </c>
      <c r="D24" s="91"/>
      <c r="E24" s="91"/>
      <c r="F24" s="92"/>
      <c r="G24" s="5"/>
    </row>
    <row r="25" spans="1:8" x14ac:dyDescent="0.25">
      <c r="A25" s="1"/>
      <c r="B25" s="6" t="s">
        <v>97</v>
      </c>
      <c r="C25" s="90" t="s">
        <v>91</v>
      </c>
      <c r="D25" s="91"/>
      <c r="E25" s="91"/>
      <c r="F25" s="92"/>
      <c r="G25" s="1"/>
    </row>
    <row r="26" spans="1:8" x14ac:dyDescent="0.25">
      <c r="A26" s="1"/>
      <c r="B26" s="6" t="s">
        <v>98</v>
      </c>
      <c r="C26" s="90" t="s">
        <v>40</v>
      </c>
      <c r="D26" s="91"/>
      <c r="E26" s="91"/>
      <c r="F26" s="92"/>
      <c r="G26" s="1"/>
    </row>
    <row r="27" spans="1:8" x14ac:dyDescent="0.25">
      <c r="A27" s="1"/>
      <c r="B27" s="6" t="s">
        <v>99</v>
      </c>
      <c r="C27" s="90" t="s">
        <v>41</v>
      </c>
      <c r="D27" s="91"/>
      <c r="E27" s="91"/>
      <c r="F27" s="92"/>
      <c r="G27" s="1"/>
    </row>
    <row r="28" spans="1:8" x14ac:dyDescent="0.25">
      <c r="A28" s="1"/>
      <c r="B28" s="6" t="s">
        <v>15</v>
      </c>
      <c r="C28" s="90" t="s">
        <v>42</v>
      </c>
      <c r="D28" s="91"/>
      <c r="E28" s="91"/>
      <c r="F28" s="92"/>
      <c r="G28" s="1"/>
      <c r="H28" s="2" t="s">
        <v>150</v>
      </c>
    </row>
    <row r="29" spans="1:8" x14ac:dyDescent="0.25">
      <c r="A29" s="1"/>
      <c r="B29" s="6" t="s">
        <v>33</v>
      </c>
      <c r="C29" s="90" t="s">
        <v>68</v>
      </c>
      <c r="D29" s="91"/>
      <c r="E29" s="91"/>
      <c r="F29" s="92"/>
      <c r="G29" s="1"/>
    </row>
    <row r="30" spans="1:8" x14ac:dyDescent="0.25">
      <c r="A30" s="1"/>
      <c r="B30" s="6" t="s">
        <v>34</v>
      </c>
      <c r="C30" s="90" t="s">
        <v>32</v>
      </c>
      <c r="D30" s="91"/>
      <c r="E30" s="91"/>
      <c r="F30" s="92"/>
      <c r="G30" s="1"/>
    </row>
    <row r="31" spans="1:8" x14ac:dyDescent="0.25">
      <c r="A31" s="1"/>
      <c r="B31" s="6" t="s">
        <v>100</v>
      </c>
      <c r="C31" s="101" t="s">
        <v>52</v>
      </c>
      <c r="D31" s="102"/>
      <c r="E31" s="102"/>
      <c r="F31" s="103"/>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nHBE4V5UeVy926hOka2yr4BtWjZ9epnMKc0odr9QT7QulzlC3/Ue87s4LZsACt60xou5zXUtS4os2GZfnxi4ZQ==" saltValue="+XPZYV77RlW1gp6D/mrTkg=="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58</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8" t="s">
        <v>165</v>
      </c>
      <c r="C8" s="109"/>
      <c r="D8" s="110"/>
      <c r="E8" s="1"/>
    </row>
    <row r="9" spans="1:5" ht="15" customHeight="1" x14ac:dyDescent="0.25">
      <c r="A9" s="1"/>
      <c r="B9" s="27" t="s">
        <v>28</v>
      </c>
      <c r="C9" s="67" t="s">
        <v>166</v>
      </c>
      <c r="D9" s="11"/>
      <c r="E9" s="1"/>
    </row>
    <row r="10" spans="1:5" ht="15" customHeight="1" x14ac:dyDescent="0.25">
      <c r="A10" s="1"/>
      <c r="B10" s="71" t="s">
        <v>228</v>
      </c>
      <c r="C10" s="72">
        <v>929062</v>
      </c>
      <c r="D10" s="14" t="s">
        <v>3</v>
      </c>
      <c r="E10" s="1"/>
    </row>
    <row r="11" spans="1:5" ht="15" customHeight="1" x14ac:dyDescent="0.25">
      <c r="A11" s="1"/>
      <c r="B11" s="71" t="s">
        <v>229</v>
      </c>
      <c r="C11" s="72">
        <v>74595</v>
      </c>
      <c r="D11" s="14" t="s">
        <v>3</v>
      </c>
      <c r="E11" s="1"/>
    </row>
    <row r="12" spans="1:5" ht="25.5" x14ac:dyDescent="0.25">
      <c r="A12" s="1"/>
      <c r="B12" s="71" t="s">
        <v>230</v>
      </c>
      <c r="C12" s="72">
        <v>761514</v>
      </c>
      <c r="D12" s="14" t="s">
        <v>3</v>
      </c>
      <c r="E12" s="1"/>
    </row>
    <row r="13" spans="1:5" x14ac:dyDescent="0.25">
      <c r="A13" s="1"/>
      <c r="B13" s="71" t="s">
        <v>231</v>
      </c>
      <c r="C13" s="72">
        <v>255986</v>
      </c>
      <c r="D13" s="14" t="s">
        <v>3</v>
      </c>
      <c r="E13" s="1"/>
    </row>
    <row r="14" spans="1:5" x14ac:dyDescent="0.25">
      <c r="A14" s="1"/>
      <c r="B14" s="71" t="s">
        <v>232</v>
      </c>
      <c r="C14" s="72">
        <v>73442</v>
      </c>
      <c r="D14" s="14" t="s">
        <v>3</v>
      </c>
      <c r="E14" s="1"/>
    </row>
    <row r="15" spans="1:5" x14ac:dyDescent="0.25">
      <c r="A15" s="1"/>
      <c r="B15" s="71" t="s">
        <v>233</v>
      </c>
      <c r="C15" s="72">
        <v>14535</v>
      </c>
      <c r="D15" s="14" t="s">
        <v>3</v>
      </c>
      <c r="E15" s="1"/>
    </row>
    <row r="16" spans="1:5" x14ac:dyDescent="0.25">
      <c r="A16" s="1"/>
      <c r="B16" s="71"/>
      <c r="C16" s="72"/>
      <c r="D16" s="14" t="s">
        <v>3</v>
      </c>
      <c r="E16" s="1"/>
    </row>
    <row r="17" spans="1:5" x14ac:dyDescent="0.25">
      <c r="A17" s="1"/>
      <c r="B17" s="71"/>
      <c r="C17" s="72"/>
      <c r="D17" s="14" t="s">
        <v>3</v>
      </c>
      <c r="E17" s="1"/>
    </row>
    <row r="18" spans="1:5" x14ac:dyDescent="0.25">
      <c r="A18" s="1"/>
      <c r="B18" s="71"/>
      <c r="C18" s="72"/>
      <c r="D18" s="14" t="s">
        <v>3</v>
      </c>
      <c r="E18" s="1"/>
    </row>
    <row r="19" spans="1:5" x14ac:dyDescent="0.25">
      <c r="A19" s="1"/>
      <c r="B19" s="71"/>
      <c r="C19" s="72"/>
      <c r="D19" s="14" t="s">
        <v>3</v>
      </c>
      <c r="E19" s="1"/>
    </row>
    <row r="20" spans="1:5" x14ac:dyDescent="0.25">
      <c r="A20" s="1"/>
      <c r="B20" s="33" t="s">
        <v>167</v>
      </c>
      <c r="C20" s="12">
        <f>SUM(C10:C19)</f>
        <v>2109134</v>
      </c>
      <c r="D20" s="13" t="s">
        <v>3</v>
      </c>
      <c r="E20" s="1"/>
    </row>
    <row r="21" spans="1:5" x14ac:dyDescent="0.25">
      <c r="A21" s="1"/>
      <c r="B21" s="33" t="s">
        <v>168</v>
      </c>
      <c r="C21" s="12">
        <f>C20*(1+'Fane 15. Nøgletal'!C10)^2</f>
        <v>2398076.2676324602</v>
      </c>
      <c r="D21" s="13" t="s">
        <v>3</v>
      </c>
      <c r="E21" s="1"/>
    </row>
    <row r="22" spans="1:5" x14ac:dyDescent="0.25">
      <c r="A22" s="1"/>
      <c r="B22" s="16"/>
      <c r="C22" s="15"/>
      <c r="D22" s="15"/>
      <c r="E22" s="1"/>
    </row>
    <row r="23" spans="1:5" x14ac:dyDescent="0.25">
      <c r="A23" s="1"/>
      <c r="B23" s="16"/>
      <c r="C23" s="15"/>
      <c r="D23" s="15"/>
      <c r="E23" s="1"/>
    </row>
    <row r="24" spans="1:5" x14ac:dyDescent="0.25">
      <c r="A24" s="1"/>
      <c r="B24" s="108" t="s">
        <v>60</v>
      </c>
      <c r="C24" s="109"/>
      <c r="D24" s="110"/>
      <c r="E24" s="1"/>
    </row>
    <row r="25" spans="1:5" x14ac:dyDescent="0.25">
      <c r="A25" s="1"/>
      <c r="B25" s="37" t="s">
        <v>72</v>
      </c>
      <c r="C25" s="9">
        <v>592739</v>
      </c>
      <c r="D25" s="14" t="s">
        <v>3</v>
      </c>
      <c r="E25" s="1"/>
    </row>
    <row r="26" spans="1:5" x14ac:dyDescent="0.25">
      <c r="A26" s="1"/>
      <c r="B26" s="37" t="s">
        <v>83</v>
      </c>
      <c r="C26" s="9">
        <v>595313</v>
      </c>
      <c r="D26" s="14" t="s">
        <v>3</v>
      </c>
      <c r="E26" s="1"/>
    </row>
    <row r="27" spans="1:5" x14ac:dyDescent="0.25">
      <c r="A27" s="1"/>
      <c r="B27" s="37" t="s">
        <v>148</v>
      </c>
      <c r="C27" s="9">
        <v>597945</v>
      </c>
      <c r="D27" s="14" t="s">
        <v>3</v>
      </c>
      <c r="E27" s="1"/>
    </row>
    <row r="28" spans="1:5" x14ac:dyDescent="0.25">
      <c r="A28" s="1"/>
      <c r="B28" s="34" t="s">
        <v>169</v>
      </c>
      <c r="C28" s="9">
        <v>600636</v>
      </c>
      <c r="D28" s="36" t="s">
        <v>3</v>
      </c>
      <c r="E28" s="1"/>
    </row>
    <row r="29" spans="1:5" x14ac:dyDescent="0.25">
      <c r="A29" s="1"/>
      <c r="B29" s="108"/>
      <c r="C29" s="109"/>
      <c r="D29" s="110"/>
      <c r="E29" s="1"/>
    </row>
    <row r="30" spans="1:5" x14ac:dyDescent="0.25">
      <c r="A30" s="1"/>
      <c r="B30" s="1"/>
      <c r="C30" s="1"/>
      <c r="D30" s="1"/>
      <c r="E30" s="1"/>
    </row>
    <row r="31" spans="1:5" x14ac:dyDescent="0.25">
      <c r="A31" s="1"/>
      <c r="B31" s="1"/>
      <c r="C31" s="1"/>
      <c r="D31" s="1"/>
      <c r="E31" s="1"/>
    </row>
    <row r="32" spans="1:5" x14ac:dyDescent="0.25">
      <c r="A32" s="1"/>
      <c r="B32" s="108" t="s">
        <v>47</v>
      </c>
      <c r="C32" s="109"/>
      <c r="D32" s="110"/>
      <c r="E32" s="1"/>
    </row>
    <row r="33" spans="1:5" x14ac:dyDescent="0.25">
      <c r="A33" s="1"/>
      <c r="B33" s="37" t="s">
        <v>72</v>
      </c>
      <c r="C33" s="9">
        <v>0</v>
      </c>
      <c r="D33" s="14" t="s">
        <v>3</v>
      </c>
      <c r="E33" s="1"/>
    </row>
    <row r="34" spans="1:5" x14ac:dyDescent="0.25">
      <c r="A34" s="1"/>
      <c r="B34" s="37" t="s">
        <v>83</v>
      </c>
      <c r="C34" s="9">
        <v>0</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08"/>
      <c r="C37" s="109"/>
      <c r="D37" s="110"/>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lxhvruzlqiVQ0RO1otuWV3vh6zKyNcJrCmFhXtPhxMYVw2jAENIuTeHaHZ8Ji/NzeYydI4KA2o4Nx9n6nTPsxA==" saltValue="JA2+BIFufvMgiAmROr3XMg=="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201</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4"/>
      <c r="C6" s="74"/>
      <c r="D6" s="74"/>
      <c r="E6" s="1"/>
    </row>
    <row r="7" spans="1:5" x14ac:dyDescent="0.25">
      <c r="A7" s="1"/>
      <c r="B7" s="1"/>
      <c r="C7" s="1"/>
      <c r="D7" s="1"/>
      <c r="E7" s="1"/>
    </row>
    <row r="8" spans="1:5" x14ac:dyDescent="0.25">
      <c r="A8" s="1"/>
      <c r="B8" s="108" t="s">
        <v>77</v>
      </c>
      <c r="C8" s="109"/>
      <c r="D8" s="110"/>
      <c r="E8" s="1"/>
    </row>
    <row r="9" spans="1:5" x14ac:dyDescent="0.25">
      <c r="A9" s="1"/>
      <c r="B9" s="65" t="s">
        <v>204</v>
      </c>
      <c r="C9" s="9">
        <v>-361615.93891231716</v>
      </c>
      <c r="D9" s="14" t="s">
        <v>3</v>
      </c>
      <c r="E9" s="1"/>
    </row>
    <row r="10" spans="1:5" x14ac:dyDescent="0.25">
      <c r="A10" s="1"/>
      <c r="B10" s="33"/>
      <c r="C10" s="28"/>
      <c r="D10" s="19"/>
      <c r="E10" s="1"/>
    </row>
    <row r="11" spans="1:5" ht="53.25" customHeight="1" x14ac:dyDescent="0.25">
      <c r="A11" s="1"/>
      <c r="B11" s="119" t="s">
        <v>212</v>
      </c>
      <c r="C11" s="120"/>
      <c r="D11" s="121"/>
      <c r="E11" s="1"/>
    </row>
    <row r="12" spans="1:5" x14ac:dyDescent="0.25">
      <c r="A12" s="1"/>
      <c r="B12" s="1"/>
      <c r="C12" s="1"/>
      <c r="D12" s="1"/>
      <c r="E12" s="1"/>
    </row>
    <row r="13" spans="1:5" x14ac:dyDescent="0.25">
      <c r="A13" s="1"/>
      <c r="B13" s="108" t="s">
        <v>78</v>
      </c>
      <c r="C13" s="109"/>
      <c r="D13" s="110"/>
      <c r="E13" s="1"/>
    </row>
    <row r="14" spans="1:5" x14ac:dyDescent="0.25">
      <c r="A14" s="1"/>
      <c r="B14" s="65" t="s">
        <v>202</v>
      </c>
      <c r="C14" s="9">
        <v>-2111696.5</v>
      </c>
      <c r="D14" s="14" t="s">
        <v>3</v>
      </c>
      <c r="E14" s="1"/>
    </row>
    <row r="15" spans="1:5" x14ac:dyDescent="0.25">
      <c r="A15" s="1"/>
      <c r="B15" s="65" t="s">
        <v>203</v>
      </c>
      <c r="C15" s="9">
        <v>-2111696.5</v>
      </c>
      <c r="D15" s="14" t="s">
        <v>3</v>
      </c>
      <c r="E15" s="1"/>
    </row>
    <row r="16" spans="1:5" x14ac:dyDescent="0.25">
      <c r="A16" s="1"/>
      <c r="B16" s="33"/>
      <c r="C16" s="28"/>
      <c r="D16" s="19"/>
      <c r="E16" s="1"/>
    </row>
    <row r="17" spans="1:5" ht="29.25" customHeight="1" x14ac:dyDescent="0.25">
      <c r="A17" s="1"/>
      <c r="B17" s="119" t="s">
        <v>121</v>
      </c>
      <c r="C17" s="120"/>
      <c r="D17" s="121"/>
      <c r="E17" s="1"/>
    </row>
    <row r="18" spans="1:5" x14ac:dyDescent="0.25">
      <c r="A18" s="1"/>
      <c r="B18" s="1"/>
      <c r="C18" s="1"/>
      <c r="D18" s="1"/>
      <c r="E18" s="1"/>
    </row>
    <row r="19" spans="1:5" x14ac:dyDescent="0.25">
      <c r="A19" s="1"/>
      <c r="B19" s="75" t="s">
        <v>205</v>
      </c>
      <c r="C19" s="76"/>
      <c r="D19" s="77"/>
      <c r="E19" s="1"/>
    </row>
    <row r="20" spans="1:5" x14ac:dyDescent="0.25">
      <c r="A20" s="1"/>
      <c r="B20" s="65" t="s">
        <v>206</v>
      </c>
      <c r="C20" s="9">
        <v>44113853.131180957</v>
      </c>
      <c r="D20" s="14" t="s">
        <v>3</v>
      </c>
      <c r="E20" s="1"/>
    </row>
    <row r="21" spans="1:5" x14ac:dyDescent="0.25">
      <c r="A21" s="1"/>
      <c r="B21" s="65" t="s">
        <v>207</v>
      </c>
      <c r="C21" s="9">
        <v>41904256</v>
      </c>
      <c r="D21" s="14" t="s">
        <v>3</v>
      </c>
      <c r="E21" s="1"/>
    </row>
    <row r="22" spans="1:5" x14ac:dyDescent="0.25">
      <c r="A22" s="1"/>
      <c r="B22" s="65" t="s">
        <v>29</v>
      </c>
      <c r="C22" s="9">
        <v>0</v>
      </c>
      <c r="D22" s="14" t="s">
        <v>3</v>
      </c>
      <c r="E22" s="1"/>
    </row>
    <row r="23" spans="1:5" x14ac:dyDescent="0.25">
      <c r="A23" s="1"/>
      <c r="B23" s="81" t="s">
        <v>208</v>
      </c>
      <c r="C23" s="57">
        <f>C20-C21-C22</f>
        <v>2209597.131180957</v>
      </c>
      <c r="D23" s="17" t="s">
        <v>3</v>
      </c>
      <c r="E23" s="1"/>
    </row>
    <row r="24" spans="1:5" x14ac:dyDescent="0.25">
      <c r="A24" s="1"/>
      <c r="B24" s="33"/>
      <c r="C24" s="28"/>
      <c r="D24" s="19"/>
      <c r="E24" s="1"/>
    </row>
    <row r="25" spans="1:5" x14ac:dyDescent="0.25">
      <c r="A25" s="1"/>
      <c r="B25" s="1"/>
      <c r="C25" s="1"/>
      <c r="D25" s="1"/>
      <c r="E25" s="1"/>
    </row>
    <row r="26" spans="1:5" x14ac:dyDescent="0.25">
      <c r="A26" s="1"/>
      <c r="B26" s="108" t="s">
        <v>209</v>
      </c>
      <c r="C26" s="109"/>
      <c r="D26" s="110"/>
      <c r="E26" s="1"/>
    </row>
    <row r="27" spans="1:5" x14ac:dyDescent="0.25">
      <c r="A27" s="1"/>
      <c r="B27" s="81" t="s">
        <v>210</v>
      </c>
      <c r="C27" s="57">
        <f>IF(AND(C15&lt;0,C23&gt;0,ABS(SUM(C14:C15))&lt;C23),ABS(C14),IF(AND(C15&lt;0,C23&gt;0,ABS(SUM(C14:C15))&gt;C23),SUM(C14,C23),C15))</f>
        <v>97900.63118095696</v>
      </c>
      <c r="D27" s="17" t="s">
        <v>3</v>
      </c>
      <c r="E27" s="1"/>
    </row>
    <row r="28" spans="1:5" x14ac:dyDescent="0.25">
      <c r="A28" s="1"/>
      <c r="B28" s="108"/>
      <c r="C28" s="109"/>
      <c r="D28" s="110"/>
      <c r="E28" s="1"/>
    </row>
    <row r="29" spans="1:5" x14ac:dyDescent="0.25">
      <c r="A29" s="1"/>
      <c r="B29" s="1"/>
      <c r="C29" s="1"/>
      <c r="D29" s="1"/>
      <c r="E29" s="1"/>
    </row>
    <row r="30" spans="1:5" x14ac:dyDescent="0.25">
      <c r="A30" s="1"/>
      <c r="B30" s="108" t="s">
        <v>211</v>
      </c>
      <c r="C30" s="109"/>
      <c r="D30" s="110"/>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6"/>
      <c r="C34" s="117"/>
      <c r="D34" s="118"/>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NR+8dgeufyWN6afteTf3tTdFxgbO+uFCARBuvbT1vWU9GBEjaTHFaMBFhci5oLvNV7BtYb4jaYojblcBw9i5kw==" saltValue="nuA+fC3qXzv/JhzQ4RTbLA=="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7" t="s">
        <v>101</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x14ac:dyDescent="0.25">
      <c r="A8" s="1"/>
      <c r="B8" s="108" t="s">
        <v>120</v>
      </c>
      <c r="C8" s="109"/>
      <c r="D8" s="110"/>
      <c r="E8" s="1"/>
    </row>
    <row r="9" spans="1:5" ht="15" customHeight="1" x14ac:dyDescent="0.25">
      <c r="A9" s="1"/>
      <c r="B9" s="122" t="s">
        <v>102</v>
      </c>
      <c r="C9" s="123"/>
      <c r="D9" s="124"/>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5"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uLpprKynaOSrQg/nC48OuwM4KlG/Ez/NZCqz0DJBk/clRtO7qe1kk3wR/pyd8pbFW2YGrHJd0j5Y1b4R1ImQxg==" saltValue="2ddjT2ddJXofOpGImr5UCA=="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170</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8" t="s">
        <v>171</v>
      </c>
      <c r="C8" s="109"/>
      <c r="D8" s="110"/>
      <c r="E8" s="1"/>
    </row>
    <row r="9" spans="1:5" ht="26.25" x14ac:dyDescent="0.25">
      <c r="A9" s="1"/>
      <c r="B9" s="78" t="s">
        <v>217</v>
      </c>
      <c r="C9" s="7">
        <v>0</v>
      </c>
      <c r="D9" s="8" t="s">
        <v>3</v>
      </c>
      <c r="E9" s="1"/>
    </row>
    <row r="10" spans="1:5" ht="14.25" customHeight="1" x14ac:dyDescent="0.25">
      <c r="A10" s="1"/>
      <c r="B10" s="65" t="s">
        <v>172</v>
      </c>
      <c r="C10" s="7">
        <v>0</v>
      </c>
      <c r="D10" s="8" t="s">
        <v>3</v>
      </c>
      <c r="E10" s="1"/>
    </row>
    <row r="11" spans="1:5" ht="14.25" customHeight="1" x14ac:dyDescent="0.25">
      <c r="A11" s="1"/>
      <c r="B11" s="81" t="s">
        <v>48</v>
      </c>
      <c r="C11" s="10">
        <f>C10-C9</f>
        <v>0</v>
      </c>
      <c r="D11" s="11" t="s">
        <v>3</v>
      </c>
      <c r="E11" s="1"/>
    </row>
    <row r="12" spans="1:5" ht="14.25" customHeight="1" x14ac:dyDescent="0.25">
      <c r="A12" s="1"/>
      <c r="B12" s="108" t="s">
        <v>219</v>
      </c>
      <c r="C12" s="109"/>
      <c r="D12" s="110"/>
      <c r="E12" s="1"/>
    </row>
    <row r="13" spans="1:5" ht="26.25" x14ac:dyDescent="0.25">
      <c r="A13" s="1"/>
      <c r="B13" s="78" t="s">
        <v>218</v>
      </c>
      <c r="C13" s="7">
        <v>587761</v>
      </c>
      <c r="D13" s="8" t="s">
        <v>3</v>
      </c>
      <c r="E13" s="1"/>
    </row>
    <row r="14" spans="1:5" ht="14.25" customHeight="1" x14ac:dyDescent="0.25">
      <c r="A14" s="1"/>
      <c r="B14" s="65" t="s">
        <v>173</v>
      </c>
      <c r="C14" s="7">
        <v>566576</v>
      </c>
      <c r="D14" s="8" t="s">
        <v>3</v>
      </c>
      <c r="E14" s="1"/>
    </row>
    <row r="15" spans="1:5" ht="14.25" customHeight="1" x14ac:dyDescent="0.25">
      <c r="A15" s="1"/>
      <c r="B15" s="81" t="s">
        <v>48</v>
      </c>
      <c r="C15" s="10">
        <f>C14-C13</f>
        <v>-21185</v>
      </c>
      <c r="D15" s="11" t="s">
        <v>3</v>
      </c>
      <c r="E15" s="1"/>
    </row>
    <row r="16" spans="1:5" ht="14.25" customHeight="1" x14ac:dyDescent="0.25">
      <c r="A16" s="1"/>
      <c r="B16" s="33" t="s">
        <v>174</v>
      </c>
      <c r="C16" s="12">
        <f>C11+C15</f>
        <v>-21185</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nLqKk4ioLGocruALZ7Tl2NwXIGorK38lsKyYn7dbpFgNERQXnMJaT28yajpIqcm2CNFUWKLLP7nflY95iQTJ7g==" saltValue="s+tNXkaFgzGzCpl1Dk9BIg=="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4" t="s">
        <v>113</v>
      </c>
      <c r="C3" s="104"/>
      <c r="D3" s="104"/>
      <c r="E3" s="104"/>
      <c r="F3" s="104"/>
      <c r="G3" s="104"/>
      <c r="H3" s="104"/>
      <c r="I3" s="104"/>
      <c r="J3" s="104"/>
      <c r="K3" s="104"/>
      <c r="L3" s="1"/>
    </row>
    <row r="4" spans="1:12" ht="15" customHeight="1" x14ac:dyDescent="0.25">
      <c r="A4" s="1"/>
      <c r="B4" s="104"/>
      <c r="C4" s="104"/>
      <c r="D4" s="104"/>
      <c r="E4" s="104"/>
      <c r="F4" s="104"/>
      <c r="G4" s="104"/>
      <c r="H4" s="104"/>
      <c r="I4" s="104"/>
      <c r="J4" s="104"/>
      <c r="K4" s="10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8" t="s">
        <v>86</v>
      </c>
      <c r="C8" s="109"/>
      <c r="D8" s="109"/>
      <c r="E8" s="109"/>
      <c r="F8" s="109"/>
      <c r="G8" s="109"/>
      <c r="H8" s="109"/>
      <c r="I8" s="109"/>
      <c r="J8" s="109"/>
      <c r="K8" s="110"/>
      <c r="L8" s="1"/>
    </row>
    <row r="9" spans="1:12" ht="39.75" customHeight="1" x14ac:dyDescent="0.25">
      <c r="A9" s="1"/>
      <c r="B9" s="18" t="s">
        <v>0</v>
      </c>
      <c r="C9" s="18" t="s">
        <v>1</v>
      </c>
      <c r="D9" s="125" t="s">
        <v>96</v>
      </c>
      <c r="E9" s="126"/>
      <c r="F9" s="125" t="s">
        <v>2</v>
      </c>
      <c r="G9" s="126"/>
      <c r="H9" s="125" t="s">
        <v>95</v>
      </c>
      <c r="I9" s="126"/>
      <c r="J9" s="125" t="s">
        <v>26</v>
      </c>
      <c r="K9" s="126"/>
      <c r="L9" s="1"/>
    </row>
    <row r="10" spans="1:12" x14ac:dyDescent="0.25">
      <c r="A10" s="1"/>
      <c r="B10" s="68" t="s">
        <v>224</v>
      </c>
      <c r="C10" s="42">
        <v>0</v>
      </c>
      <c r="D10" s="9">
        <v>0</v>
      </c>
      <c r="E10" s="14" t="s">
        <v>3</v>
      </c>
      <c r="F10" s="9">
        <f>IFERROR(D10/C10,0)</f>
        <v>0</v>
      </c>
      <c r="G10" s="14" t="s">
        <v>3</v>
      </c>
      <c r="H10" s="38">
        <v>0</v>
      </c>
      <c r="I10" s="14" t="s">
        <v>3</v>
      </c>
      <c r="J10" s="38">
        <v>0</v>
      </c>
      <c r="K10" s="14" t="s">
        <v>3</v>
      </c>
      <c r="L10" s="1"/>
    </row>
    <row r="11" spans="1:12" x14ac:dyDescent="0.25">
      <c r="A11" s="1"/>
      <c r="B11" s="75" t="s">
        <v>221</v>
      </c>
      <c r="C11" s="76"/>
      <c r="D11" s="77"/>
      <c r="E11" s="77"/>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IHUYVWVwF9yspwi7JWr4QSNZKfHVXQeBfXFaoIFd2Itufqd4+MLttl/1FLyZ9/r7uRbE5BNtBUTKlozJlpa6TA==" saltValue="pQ9DETVHE5dl0qZEFTDYO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114</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79" t="s">
        <v>17</v>
      </c>
      <c r="C9" s="81" t="s">
        <v>11</v>
      </c>
      <c r="D9" s="80"/>
      <c r="E9" s="81"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235</v>
      </c>
      <c r="C11" s="21">
        <v>5617.89</v>
      </c>
      <c r="D11" s="14" t="s">
        <v>3</v>
      </c>
      <c r="E11" s="9">
        <v>531944</v>
      </c>
      <c r="F11" s="14" t="s">
        <v>3</v>
      </c>
      <c r="G11" s="1"/>
    </row>
    <row r="12" spans="1:7" x14ac:dyDescent="0.25">
      <c r="A12" s="1"/>
      <c r="B12" s="24" t="s">
        <v>236</v>
      </c>
      <c r="C12" s="21">
        <v>79076.2</v>
      </c>
      <c r="D12" s="14" t="s">
        <v>3</v>
      </c>
      <c r="E12" s="9">
        <v>147709.20000000001</v>
      </c>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84694.09</v>
      </c>
      <c r="D19" s="13" t="s">
        <v>3</v>
      </c>
      <c r="E19" s="12">
        <f>SUM(E10:E18)</f>
        <v>679653.2</v>
      </c>
      <c r="F19" s="13" t="s">
        <v>3</v>
      </c>
      <c r="G19" s="1"/>
    </row>
    <row r="20" spans="1:7" x14ac:dyDescent="0.25">
      <c r="A20" s="1"/>
      <c r="B20" s="33" t="s">
        <v>175</v>
      </c>
      <c r="C20" s="12">
        <f>C19*(1+'Fane 15. Nøgletal'!C10)</f>
        <v>90309.308166999996</v>
      </c>
      <c r="D20" s="13" t="s">
        <v>3</v>
      </c>
      <c r="E20" s="12">
        <f>E19*(1+'Fane 15. Nøgletal'!C10)</f>
        <v>724714.20715999999</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B5G2yOpr8ok8OcLnCFsJ2oXf6yujORqFZUNDGuEeLbqn54WFqZhjwME+OjRK9JBOXDhOP5NuxCnXwgmfOumdfg==" saltValue="OUAUQsuVy8/xc1NY5Kl3P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115</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8" t="s">
        <v>176</v>
      </c>
      <c r="C8" s="109"/>
      <c r="D8" s="109"/>
      <c r="E8" s="109"/>
      <c r="F8" s="110"/>
      <c r="G8" s="1"/>
    </row>
    <row r="9" spans="1:7" x14ac:dyDescent="0.25">
      <c r="A9" s="1"/>
      <c r="B9" s="79" t="s">
        <v>17</v>
      </c>
      <c r="C9" s="81" t="s">
        <v>11</v>
      </c>
      <c r="D9" s="80"/>
      <c r="E9" s="81" t="s">
        <v>27</v>
      </c>
      <c r="F9" s="32"/>
      <c r="G9" s="1"/>
    </row>
    <row r="10" spans="1:7" x14ac:dyDescent="0.25">
      <c r="A10" s="1"/>
      <c r="B10" s="24" t="s">
        <v>237</v>
      </c>
      <c r="C10" s="21">
        <v>767554.27</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767554.27</v>
      </c>
      <c r="D13" s="13" t="s">
        <v>3</v>
      </c>
      <c r="E13" s="12">
        <f>SUM(E10:E12)</f>
        <v>0</v>
      </c>
      <c r="F13" s="13" t="s">
        <v>3</v>
      </c>
      <c r="G13" s="1"/>
    </row>
    <row r="14" spans="1:7" x14ac:dyDescent="0.25">
      <c r="A14" s="1"/>
      <c r="B14" s="33" t="s">
        <v>178</v>
      </c>
      <c r="C14" s="12">
        <f>C13*(1+'Fane 15. Nøgletal'!C10)^2</f>
        <v>872705.89683109627</v>
      </c>
      <c r="D14" s="13" t="s">
        <v>3</v>
      </c>
      <c r="E14" s="12">
        <f>E13*(1+'Fane 15. Nøgletal'!C10)^2</f>
        <v>0</v>
      </c>
      <c r="F14" s="13" t="s">
        <v>3</v>
      </c>
      <c r="G14" s="1"/>
    </row>
    <row r="15" spans="1:7" x14ac:dyDescent="0.25">
      <c r="A15" s="1"/>
      <c r="B15" s="1"/>
      <c r="C15" s="1"/>
      <c r="D15" s="1"/>
      <c r="E15" s="1"/>
      <c r="F15" s="1"/>
      <c r="G15" s="1"/>
    </row>
    <row r="16" spans="1:7" x14ac:dyDescent="0.25">
      <c r="A16" s="1"/>
      <c r="B16" s="127"/>
      <c r="C16" s="127"/>
      <c r="D16" s="127"/>
      <c r="E16" s="127"/>
      <c r="F16" s="127"/>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7"/>
      <c r="C29" s="127"/>
      <c r="D29" s="127"/>
      <c r="E29" s="127"/>
      <c r="F29" s="127"/>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K695sBkMRvn60uUfYAmTabonRD8FKFmAGAHCCSDOMUiffcBbFaBI1cDW8iL1IaFUy43dxIjHZ+Pz83B6jf1hOQ==" saltValue="UQlbNKtHFi+o9Mh+3tp8Iw=="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116</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ht="14.25" customHeight="1" x14ac:dyDescent="0.25">
      <c r="A8" s="1"/>
      <c r="B8" s="108" t="s">
        <v>73</v>
      </c>
      <c r="C8" s="109"/>
      <c r="D8" s="110"/>
      <c r="E8" s="1"/>
    </row>
    <row r="9" spans="1:5" x14ac:dyDescent="0.25">
      <c r="A9" s="1"/>
      <c r="B9" s="68" t="s">
        <v>179</v>
      </c>
      <c r="C9" s="9">
        <v>0</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5" t="s">
        <v>74</v>
      </c>
      <c r="C12" s="12">
        <f>SUM(C9:C11)*(1+'Fane 15. Nøgletal'!C9)^2</f>
        <v>0</v>
      </c>
      <c r="D12" s="13" t="s">
        <v>3</v>
      </c>
      <c r="E12" s="1"/>
    </row>
    <row r="13" spans="1:5" x14ac:dyDescent="0.25">
      <c r="A13" s="1"/>
      <c r="B13" s="1"/>
      <c r="C13" s="1"/>
      <c r="D13" s="1"/>
      <c r="E13" s="1"/>
    </row>
    <row r="14" spans="1:5" ht="15" customHeight="1" x14ac:dyDescent="0.25">
      <c r="A14" s="1"/>
      <c r="B14" s="108" t="s">
        <v>84</v>
      </c>
      <c r="C14" s="109"/>
      <c r="D14" s="110"/>
      <c r="E14" s="1"/>
    </row>
    <row r="15" spans="1:5" x14ac:dyDescent="0.25">
      <c r="A15" s="1"/>
      <c r="B15" s="68" t="s">
        <v>179</v>
      </c>
      <c r="C15" s="9">
        <v>0</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5" t="s">
        <v>85</v>
      </c>
      <c r="C18" s="12">
        <f>SUM(C15:C17)*(1+'Fane 15. Nøgletal'!C10)^3</f>
        <v>0</v>
      </c>
      <c r="D18" s="13" t="s">
        <v>3</v>
      </c>
      <c r="E18" s="1"/>
    </row>
    <row r="19" spans="1:5" x14ac:dyDescent="0.25">
      <c r="A19" s="1"/>
      <c r="B19" s="1"/>
      <c r="C19" s="1"/>
      <c r="D19" s="1"/>
      <c r="E19" s="1"/>
    </row>
    <row r="20" spans="1:5" ht="15" customHeight="1" x14ac:dyDescent="0.25">
      <c r="A20" s="1"/>
      <c r="B20" s="108" t="s">
        <v>140</v>
      </c>
      <c r="C20" s="109"/>
      <c r="D20" s="110"/>
      <c r="E20" s="1"/>
    </row>
    <row r="21" spans="1:5" x14ac:dyDescent="0.25">
      <c r="A21" s="1"/>
      <c r="B21" s="68" t="s">
        <v>179</v>
      </c>
      <c r="C21" s="9">
        <v>0</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5" t="s">
        <v>141</v>
      </c>
      <c r="C24" s="12">
        <f>SUM(C21:C23)*(1+'Fane 15. Nøgletal'!C10)^4</f>
        <v>0</v>
      </c>
      <c r="D24" s="13" t="s">
        <v>3</v>
      </c>
      <c r="E24" s="1"/>
    </row>
    <row r="25" spans="1:5" x14ac:dyDescent="0.25">
      <c r="A25" s="1"/>
      <c r="B25" s="1"/>
      <c r="C25" s="1"/>
      <c r="D25" s="1"/>
      <c r="E25" s="1"/>
    </row>
    <row r="26" spans="1:5" ht="15" customHeight="1" x14ac:dyDescent="0.25">
      <c r="A26" s="1"/>
      <c r="B26" s="108" t="s">
        <v>180</v>
      </c>
      <c r="C26" s="109"/>
      <c r="D26" s="110"/>
      <c r="E26" s="1"/>
    </row>
    <row r="27" spans="1:5" ht="14.25" customHeight="1" x14ac:dyDescent="0.25">
      <c r="A27" s="1"/>
      <c r="B27" s="68" t="s">
        <v>179</v>
      </c>
      <c r="C27" s="9">
        <v>0</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5"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168nPNOGKYfxfC1WAh0/e1VHUH2V6fyOu4G4yOlqWVr5o/iUiwjNxfChAHNWaHC80lUryawdub9/iADPdkBBdg==" saltValue="yVnCo5dX4egHBlrfd4i5tw=="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117</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x14ac:dyDescent="0.25">
      <c r="A8" s="1"/>
      <c r="B8" s="108" t="s">
        <v>66</v>
      </c>
      <c r="C8" s="109"/>
      <c r="D8" s="109"/>
      <c r="E8" s="109"/>
      <c r="F8" s="110"/>
      <c r="G8" s="1"/>
    </row>
    <row r="9" spans="1:7" ht="15" customHeight="1" x14ac:dyDescent="0.25">
      <c r="A9" s="1"/>
      <c r="B9" s="31" t="s">
        <v>67</v>
      </c>
      <c r="C9" s="27" t="s">
        <v>11</v>
      </c>
      <c r="D9" s="32"/>
      <c r="E9" s="27" t="s">
        <v>27</v>
      </c>
      <c r="F9" s="32"/>
      <c r="G9" s="1"/>
    </row>
    <row r="10" spans="1:7" ht="26.25" x14ac:dyDescent="0.25">
      <c r="A10" s="1"/>
      <c r="B10" s="70" t="s">
        <v>222</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ee/TNAeVSGjCAo/bfXhoFVG5k0Dc7I7ANCacXEWPc90psu1v6bT9rNMXGVMdmCMZO498tfYQ9Z8uZqAAs9uR2A==" saltValue="4+NxAm5faVYIt1E8pSoLnQ=="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118</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8" t="s">
        <v>183</v>
      </c>
      <c r="C8" s="109"/>
      <c r="D8" s="109"/>
      <c r="E8" s="109"/>
      <c r="F8" s="110"/>
      <c r="G8" s="1"/>
    </row>
    <row r="9" spans="1:7" x14ac:dyDescent="0.25">
      <c r="A9" s="1"/>
      <c r="B9" s="31" t="s">
        <v>18</v>
      </c>
      <c r="C9" s="128" t="s">
        <v>11</v>
      </c>
      <c r="D9" s="129"/>
      <c r="E9" s="128" t="s">
        <v>27</v>
      </c>
      <c r="F9" s="129"/>
      <c r="G9" s="1"/>
    </row>
    <row r="10" spans="1:7" x14ac:dyDescent="0.25">
      <c r="A10" s="1"/>
      <c r="B10" s="70" t="s">
        <v>223</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216</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7"/>
      <c r="C14" s="127"/>
      <c r="D14" s="127"/>
      <c r="E14" s="127"/>
      <c r="F14" s="127"/>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7"/>
      <c r="C21" s="127"/>
      <c r="D21" s="127"/>
      <c r="E21" s="127"/>
      <c r="F21" s="127"/>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7"/>
      <c r="C27" s="127"/>
      <c r="D27" s="127"/>
      <c r="E27" s="127"/>
      <c r="F27" s="127"/>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4a9dp6m82wDbMJ6ONjrzi8Wvdm0d5aa3CupFjN0S8pvng0BxOJW9gu3IXnNcxyXZoahvShGfzWlhHhgT5pG9w==" saltValue="rZwhcIsUDqK8el5cOVmEWg=="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155</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43171290.851997428</v>
      </c>
      <c r="D9" s="8" t="s">
        <v>3</v>
      </c>
      <c r="E9" s="1"/>
    </row>
    <row r="10" spans="1:5" ht="17.25" customHeight="1" x14ac:dyDescent="0.25">
      <c r="A10" s="1"/>
      <c r="B10" s="64" t="s">
        <v>35</v>
      </c>
      <c r="C10" s="7">
        <f>'Fane 11.1. Varige tillæg'!C20</f>
        <v>90309.308166999996</v>
      </c>
      <c r="D10" s="8" t="s">
        <v>3</v>
      </c>
      <c r="E10" s="1"/>
    </row>
    <row r="11" spans="1:5" ht="17.25" customHeight="1" x14ac:dyDescent="0.25">
      <c r="A11" s="1"/>
      <c r="B11" s="64" t="s">
        <v>36</v>
      </c>
      <c r="C11" s="9">
        <f>'Fane 11.1. Varige tillæg'!E20</f>
        <v>724714.20715999999</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3542276.3599075722</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-353751.59452100546</v>
      </c>
      <c r="D18" s="8" t="s">
        <v>3</v>
      </c>
      <c r="E18" s="1"/>
    </row>
    <row r="19" spans="1:5" ht="17.25" customHeight="1" x14ac:dyDescent="0.25">
      <c r="A19" s="1"/>
      <c r="B19" s="64" t="s">
        <v>23</v>
      </c>
      <c r="C19" s="38">
        <f>-'Fane 4.2. Gen. krav - anlæg'!C17</f>
        <v>0</v>
      </c>
      <c r="D19" s="8" t="s">
        <v>3</v>
      </c>
      <c r="E19" s="43"/>
    </row>
    <row r="20" spans="1:5" ht="17.25" customHeight="1" x14ac:dyDescent="0.25">
      <c r="A20" s="1"/>
      <c r="B20" s="81" t="s">
        <v>21</v>
      </c>
      <c r="C20" s="10">
        <f>SUM(C9:C19)</f>
        <v>47174839.132711001</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2990815.2676324602</v>
      </c>
      <c r="D22" s="11" t="s">
        <v>3</v>
      </c>
      <c r="E22" s="1"/>
    </row>
    <row r="23" spans="1:5" ht="15" customHeight="1" x14ac:dyDescent="0.25">
      <c r="A23" s="1"/>
      <c r="B23" s="33" t="s">
        <v>42</v>
      </c>
      <c r="C23" s="28"/>
      <c r="D23" s="19"/>
      <c r="E23" s="1"/>
    </row>
    <row r="24" spans="1:5" ht="15" customHeight="1" x14ac:dyDescent="0.25">
      <c r="A24" s="1"/>
      <c r="B24" s="81"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872705.89683109627</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-17454.117936621926</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855251.77889447438</v>
      </c>
      <c r="D30" s="11" t="s">
        <v>3</v>
      </c>
      <c r="E30" s="1"/>
    </row>
    <row r="31" spans="1:5" x14ac:dyDescent="0.25">
      <c r="A31" s="1"/>
      <c r="B31" s="33" t="s">
        <v>69</v>
      </c>
      <c r="C31" s="28"/>
      <c r="D31" s="19"/>
      <c r="E31" s="1"/>
    </row>
    <row r="32" spans="1:5" x14ac:dyDescent="0.25">
      <c r="A32" s="1"/>
      <c r="B32" s="31" t="s">
        <v>79</v>
      </c>
      <c r="C32" s="62">
        <f>'Fane 7. Kontrol af ØR2023'!C27</f>
        <v>97900.63118095696</v>
      </c>
      <c r="D32" s="11" t="s">
        <v>3</v>
      </c>
      <c r="E32" s="1"/>
    </row>
    <row r="33" spans="1:5" ht="15" customHeight="1" x14ac:dyDescent="0.25">
      <c r="A33" s="1"/>
      <c r="B33" s="33" t="s">
        <v>154</v>
      </c>
      <c r="C33" s="28"/>
      <c r="D33" s="19"/>
      <c r="E33" s="1"/>
    </row>
    <row r="34" spans="1:5" x14ac:dyDescent="0.25">
      <c r="A34" s="1"/>
      <c r="B34" s="31" t="s">
        <v>154</v>
      </c>
      <c r="C34" s="10">
        <f>'Fane 9. Korrektion af ØR2023'!C16</f>
        <v>-21185</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51097621.810418889</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PLAqfM1ZYIe2i6H3bOtopQfT4aDxhWIz/GorWF/uvqgYwZ9itNUl1mGBTRBLQBtucgFSBdDzClwPlPDLqEcuGQ==" saltValue="LmvcAWW0gsrWrKM4s7B4p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7" t="s">
        <v>119</v>
      </c>
      <c r="C3" s="107"/>
      <c r="D3" s="1"/>
    </row>
    <row r="4" spans="1:4" ht="15" customHeight="1" x14ac:dyDescent="0.25">
      <c r="A4" s="1"/>
      <c r="B4" s="107"/>
      <c r="C4" s="107"/>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226</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215</v>
      </c>
      <c r="C15" s="60">
        <v>0</v>
      </c>
      <c r="D15" s="1"/>
    </row>
    <row r="16" spans="1:4" x14ac:dyDescent="0.25">
      <c r="A16" s="1"/>
      <c r="B16" s="59" t="s">
        <v>227</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LO9rKSPI3wOEpvW3xwy0Yy8YhzE+kySKLk6qNZMiQNenSPtEqt8D3+OLj/Hzwk0r3FMUk0572waF5yme3ny+NQ==" saltValue="DNDwPG95wZ+udgMo0Hk3C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156</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47174839.132711001</v>
      </c>
      <c r="D9" s="8" t="s">
        <v>3</v>
      </c>
      <c r="E9" s="1"/>
    </row>
    <row r="10" spans="1:5" ht="15" customHeight="1" x14ac:dyDescent="0.25">
      <c r="A10" s="1"/>
      <c r="B10" s="26" t="s">
        <v>19</v>
      </c>
      <c r="C10" s="7">
        <f>C9*'Fane 15. Nøgletal'!C10</f>
        <v>3127691.8344987393</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-369661.21873299318</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49932869.748476751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3152381.7241764925</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53085251.47265324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xB5GSFffWbsWQIYzEF5noGBk3CLhM/vqVKwWdJKcy2NfefN4hAxFDh23llz/3G77RIme9rS5khKdJ7xdvwtJNQ==" saltValue="3y1CTVFOxAF3MUPkU3rFY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157</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49932869.748476751</v>
      </c>
      <c r="D9" s="8" t="s">
        <v>3</v>
      </c>
      <c r="E9" s="1"/>
    </row>
    <row r="10" spans="1:5" ht="15" customHeight="1" x14ac:dyDescent="0.25">
      <c r="A10" s="1"/>
      <c r="B10" s="26" t="s">
        <v>19</v>
      </c>
      <c r="C10" s="7">
        <f>SUM(C9:C9)*'Fane 15. Nøgletal'!C10</f>
        <v>3310549.2643240085</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-386286.36238429078</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52857132.650416471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3324547.3805893939</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56181680.031005867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asVmd5hMfP9gnISIrLoU9rnQcYRlPbUh7apw5S0guv3/V1U2tOCnzEV8/2euwWOYfo7E3iAzto8yTi89fORuHg==" saltValue="LFpjbj/kr0Ue4QdTyI5A7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158</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52857132.650416471</v>
      </c>
      <c r="D9" s="8" t="s">
        <v>3</v>
      </c>
      <c r="E9" s="1"/>
    </row>
    <row r="10" spans="1:5" ht="15" customHeight="1" x14ac:dyDescent="0.25">
      <c r="A10" s="1"/>
      <c r="B10" s="26" t="s">
        <v>19</v>
      </c>
      <c r="C10" s="7">
        <f>SUM(C9:C9)*'Fane 15. Nøgletal'!C10</f>
        <v>3504427.8947226121</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-403659.2052461619</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55957901.339892916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3508012.118422471</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59465913.458315387</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rZmiNbLCSo7Tu/5XqjBmUPnkPRQ1gWb0NP1aWr9a6UGdHkZbJZ1PLHmCqGQRchP9JDW87Gln6oQ9vLdbNSKfLQ==" saltValue="/DAthV9kG35ToNfLJmkiA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7" t="s">
        <v>161</v>
      </c>
      <c r="C3" s="107"/>
      <c r="D3" s="107"/>
      <c r="E3" s="1"/>
    </row>
    <row r="4" spans="1:5" ht="15" customHeight="1" x14ac:dyDescent="0.25">
      <c r="A4" s="1"/>
      <c r="B4" s="107"/>
      <c r="C4" s="107"/>
      <c r="D4" s="107"/>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38858622.345343299</v>
      </c>
      <c r="D9" s="8" t="s">
        <v>3</v>
      </c>
      <c r="E9" s="1"/>
    </row>
    <row r="10" spans="1:5" ht="15" customHeight="1" x14ac:dyDescent="0.25">
      <c r="A10" s="1"/>
      <c r="B10" s="64" t="s">
        <v>35</v>
      </c>
      <c r="C10" s="7">
        <v>1147770.756048</v>
      </c>
      <c r="D10" s="8" t="s">
        <v>3</v>
      </c>
      <c r="E10" s="1"/>
    </row>
    <row r="11" spans="1:5" ht="15" customHeight="1" x14ac:dyDescent="0.25">
      <c r="A11" s="1"/>
      <c r="B11" s="64" t="s">
        <v>36</v>
      </c>
      <c r="C11" s="9">
        <v>244770.440432</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3252294.0141793224</v>
      </c>
      <c r="D16" s="8" t="s">
        <v>3</v>
      </c>
      <c r="E16" s="1"/>
    </row>
    <row r="17" spans="1:5" ht="15" customHeight="1" x14ac:dyDescent="0.25">
      <c r="A17" s="1"/>
      <c r="B17" s="64" t="s">
        <v>10</v>
      </c>
      <c r="C17" s="38">
        <v>0</v>
      </c>
      <c r="D17" s="8" t="s">
        <v>3</v>
      </c>
      <c r="E17" s="1"/>
    </row>
    <row r="18" spans="1:5" ht="15" customHeight="1" x14ac:dyDescent="0.25">
      <c r="A18" s="1"/>
      <c r="B18" s="64" t="s">
        <v>22</v>
      </c>
      <c r="C18" s="38">
        <v>-332166.70400519273</v>
      </c>
      <c r="D18" s="8" t="s">
        <v>3</v>
      </c>
      <c r="E18" s="1"/>
    </row>
    <row r="19" spans="1:5" ht="15" customHeight="1" x14ac:dyDescent="0.25">
      <c r="A19" s="1"/>
      <c r="B19" s="64" t="s">
        <v>23</v>
      </c>
      <c r="C19" s="38">
        <v>0</v>
      </c>
      <c r="D19" s="8" t="s">
        <v>3</v>
      </c>
      <c r="E19" s="43"/>
    </row>
    <row r="20" spans="1:5" ht="15" customHeight="1" x14ac:dyDescent="0.25">
      <c r="A20" s="1"/>
      <c r="B20" s="81" t="s">
        <v>21</v>
      </c>
      <c r="C20" s="10">
        <v>43171290.851997428</v>
      </c>
      <c r="D20" s="11" t="s">
        <v>3</v>
      </c>
      <c r="E20" s="1"/>
    </row>
    <row r="21" spans="1:5" ht="15" customHeight="1" x14ac:dyDescent="0.25">
      <c r="A21" s="1"/>
      <c r="B21" s="33" t="s">
        <v>12</v>
      </c>
      <c r="C21" s="28"/>
      <c r="D21" s="19"/>
      <c r="E21" s="1"/>
    </row>
    <row r="22" spans="1:5" ht="15" customHeight="1" x14ac:dyDescent="0.25">
      <c r="A22" s="1"/>
      <c r="B22" s="31" t="s">
        <v>12</v>
      </c>
      <c r="C22" s="10">
        <v>2383221.59120384</v>
      </c>
      <c r="D22" s="11" t="s">
        <v>3</v>
      </c>
      <c r="E22" s="1"/>
    </row>
    <row r="23" spans="1:5" ht="15" customHeight="1" x14ac:dyDescent="0.25">
      <c r="A23" s="1"/>
      <c r="B23" s="33" t="s">
        <v>42</v>
      </c>
      <c r="C23" s="28"/>
      <c r="D23" s="19"/>
      <c r="E23" s="1"/>
    </row>
    <row r="24" spans="1:5" ht="15" customHeight="1" x14ac:dyDescent="0.25">
      <c r="A24" s="1"/>
      <c r="B24" s="81" t="s">
        <v>42</v>
      </c>
      <c r="C24" s="10">
        <v>0</v>
      </c>
      <c r="D24" s="11" t="s">
        <v>3</v>
      </c>
      <c r="E24" s="1"/>
    </row>
    <row r="25" spans="1:5" x14ac:dyDescent="0.25">
      <c r="A25" s="1"/>
      <c r="B25" s="41" t="s">
        <v>41</v>
      </c>
      <c r="C25" s="39"/>
      <c r="D25" s="40"/>
      <c r="E25" s="1"/>
    </row>
    <row r="26" spans="1:5" ht="15" customHeight="1" x14ac:dyDescent="0.25">
      <c r="A26" s="1"/>
      <c r="B26" s="64" t="s">
        <v>89</v>
      </c>
      <c r="C26" s="38">
        <v>1268926.1799947263</v>
      </c>
      <c r="D26" s="8" t="s">
        <v>3</v>
      </c>
      <c r="E26" s="1"/>
    </row>
    <row r="27" spans="1:5" ht="15" customHeight="1" x14ac:dyDescent="0.25">
      <c r="A27" s="1"/>
      <c r="B27" s="64" t="s">
        <v>38</v>
      </c>
      <c r="C27" s="38">
        <v>0</v>
      </c>
      <c r="D27" s="8" t="s">
        <v>3</v>
      </c>
      <c r="E27" s="1"/>
    </row>
    <row r="28" spans="1:5" ht="15" customHeight="1" x14ac:dyDescent="0.25">
      <c r="A28" s="1"/>
      <c r="B28" s="64" t="s">
        <v>92</v>
      </c>
      <c r="C28" s="38">
        <v>-25378.523599894528</v>
      </c>
      <c r="D28" s="8" t="s">
        <v>3</v>
      </c>
      <c r="E28" s="1"/>
    </row>
    <row r="29" spans="1:5" ht="15" customHeight="1" x14ac:dyDescent="0.25">
      <c r="A29" s="1"/>
      <c r="B29" s="64" t="s">
        <v>93</v>
      </c>
      <c r="C29" s="38">
        <v>0</v>
      </c>
      <c r="D29" s="8" t="s">
        <v>3</v>
      </c>
      <c r="E29" s="1"/>
    </row>
    <row r="30" spans="1:5" ht="15" customHeight="1" x14ac:dyDescent="0.25">
      <c r="A30" s="1"/>
      <c r="B30" s="67" t="s">
        <v>43</v>
      </c>
      <c r="C30" s="10">
        <v>1243547.6563948318</v>
      </c>
      <c r="D30" s="11" t="s">
        <v>3</v>
      </c>
      <c r="E30" s="1"/>
    </row>
    <row r="31" spans="1:5" ht="15" customHeight="1" x14ac:dyDescent="0.25">
      <c r="A31" s="1"/>
      <c r="B31" s="33" t="s">
        <v>69</v>
      </c>
      <c r="C31" s="28"/>
      <c r="D31" s="19"/>
      <c r="E31" s="1"/>
    </row>
    <row r="32" spans="1:5" ht="15" customHeight="1" x14ac:dyDescent="0.25">
      <c r="A32" s="1"/>
      <c r="B32" s="31" t="s">
        <v>79</v>
      </c>
      <c r="C32" s="10">
        <v>-2111696.5</v>
      </c>
      <c r="D32" s="11" t="s">
        <v>3</v>
      </c>
      <c r="E32" s="1"/>
    </row>
    <row r="33" spans="1:5" x14ac:dyDescent="0.25">
      <c r="A33" s="1"/>
      <c r="B33" s="33" t="s">
        <v>128</v>
      </c>
      <c r="C33" s="28"/>
      <c r="D33" s="19"/>
      <c r="E33" s="1"/>
    </row>
    <row r="34" spans="1:5" ht="15.4" customHeight="1" x14ac:dyDescent="0.25">
      <c r="A34" s="1"/>
      <c r="B34" s="31" t="s">
        <v>128</v>
      </c>
      <c r="C34" s="10">
        <v>-94598</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0" t="s">
        <v>213</v>
      </c>
      <c r="C37" s="28"/>
      <c r="D37" s="19"/>
      <c r="E37" s="1"/>
    </row>
    <row r="38" spans="1:5" x14ac:dyDescent="0.25">
      <c r="A38" s="1"/>
      <c r="B38" s="67" t="s">
        <v>214</v>
      </c>
      <c r="C38" s="10">
        <v>309108.24841006449</v>
      </c>
      <c r="D38" s="11" t="s">
        <v>3</v>
      </c>
      <c r="E38" s="1"/>
    </row>
    <row r="39" spans="1:5" x14ac:dyDescent="0.25">
      <c r="A39" s="1"/>
      <c r="B39" s="33" t="s">
        <v>65</v>
      </c>
      <c r="C39" s="45">
        <v>44900873.848006159</v>
      </c>
      <c r="D39" s="30" t="s">
        <v>3</v>
      </c>
      <c r="E39" s="1"/>
    </row>
    <row r="40" spans="1:5" ht="30" customHeight="1" x14ac:dyDescent="0.25">
      <c r="A40" s="1"/>
      <c r="B40" s="106" t="s">
        <v>225</v>
      </c>
      <c r="C40" s="106"/>
      <c r="D40" s="106"/>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uXDmLer2UzHI1yHLtrvQz+A1iM3JHZIEjsjfePo4v4W47+uh5TnE+R39SLQQXi7DnF9UWtb5RZwf8PntH8ZPhw==" saltValue="eCt41QO7MhSVU53xEqDfVA==" spinCount="100000" sheet="1" objects="1" scenarios="1"/>
  <mergeCells count="2">
    <mergeCell ref="B40:D40"/>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7" t="s">
        <v>56</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4"/>
      <c r="C6" s="74"/>
      <c r="D6" s="74"/>
      <c r="E6" s="1"/>
    </row>
    <row r="7" spans="1:5" x14ac:dyDescent="0.25">
      <c r="A7" s="1"/>
      <c r="B7" s="1"/>
      <c r="C7" s="1"/>
      <c r="D7" s="1"/>
      <c r="E7" s="1"/>
    </row>
    <row r="8" spans="1:5" x14ac:dyDescent="0.25">
      <c r="A8" s="1"/>
      <c r="B8" s="108" t="s">
        <v>123</v>
      </c>
      <c r="C8" s="109"/>
      <c r="D8" s="110"/>
      <c r="E8" s="1"/>
    </row>
    <row r="9" spans="1:5" x14ac:dyDescent="0.25">
      <c r="A9" s="1"/>
      <c r="B9" s="65" t="s">
        <v>88</v>
      </c>
      <c r="C9" s="23">
        <v>15367824.567122957</v>
      </c>
      <c r="D9" s="14" t="s">
        <v>3</v>
      </c>
      <c r="E9" s="1"/>
    </row>
    <row r="10" spans="1:5" x14ac:dyDescent="0.25">
      <c r="A10" s="1"/>
      <c r="B10" s="65" t="s">
        <v>125</v>
      </c>
      <c r="C10" s="23">
        <f>('Fane 3. Omkostninger i ØR2024'!C10+'Fane 3. Omkostninger i ØR2024'!C12+'Fane 3. Omkostninger i ØR2024'!C14)*(1+'Fane 15. Nøgletal'!C9)</f>
        <v>1240510.6331366783</v>
      </c>
      <c r="D10" s="14" t="s">
        <v>3</v>
      </c>
      <c r="E10" s="1"/>
    </row>
    <row r="11" spans="1:5" x14ac:dyDescent="0.25">
      <c r="A11" s="1"/>
      <c r="B11" s="65" t="s">
        <v>131</v>
      </c>
      <c r="C11" s="23">
        <f>C9*'Fane 15. Nøgletal'!C21+C10*'Fane 15. Nøgletal'!C21</f>
        <v>332166.70400519273</v>
      </c>
      <c r="D11" s="14" t="s">
        <v>3</v>
      </c>
      <c r="E11" s="1"/>
    </row>
    <row r="12" spans="1:5" x14ac:dyDescent="0.25">
      <c r="A12" s="1"/>
      <c r="B12" s="33"/>
      <c r="C12" s="28"/>
      <c r="D12" s="19"/>
      <c r="E12" s="1"/>
    </row>
    <row r="13" spans="1:5" x14ac:dyDescent="0.25">
      <c r="A13" s="1"/>
      <c r="B13" s="1"/>
      <c r="C13" s="1"/>
      <c r="D13" s="1"/>
      <c r="E13" s="1"/>
    </row>
    <row r="14" spans="1:5" x14ac:dyDescent="0.25">
      <c r="A14" s="1"/>
      <c r="B14" s="108" t="s">
        <v>124</v>
      </c>
      <c r="C14" s="109"/>
      <c r="D14" s="110"/>
      <c r="E14" s="1"/>
    </row>
    <row r="15" spans="1:5" x14ac:dyDescent="0.25">
      <c r="A15" s="1"/>
      <c r="B15" s="65" t="s">
        <v>133</v>
      </c>
      <c r="C15" s="23">
        <f>(C9+C10-C11)*(1+'Fane 15. Nøgletal'!C9)</f>
        <v>17591282.910751801</v>
      </c>
      <c r="D15" s="14" t="s">
        <v>3</v>
      </c>
      <c r="E15" s="1"/>
    </row>
    <row r="16" spans="1:5" x14ac:dyDescent="0.25">
      <c r="A16" s="1"/>
      <c r="B16" s="65" t="s">
        <v>184</v>
      </c>
      <c r="C16" s="23">
        <f>('Fane 2.1. Økonomisk ramme 2025'!C10+'Fane 2.1. Økonomisk ramme 2025'!C12+'Fane 2.1. Økonomisk ramme 2025'!C14)*(1+'Fane 15. Nøgletal'!C10)</f>
        <v>96296.815298472095</v>
      </c>
      <c r="D16" s="14" t="s">
        <v>3</v>
      </c>
      <c r="E16" s="1"/>
    </row>
    <row r="17" spans="1:5" x14ac:dyDescent="0.25">
      <c r="A17" s="1"/>
      <c r="B17" s="65" t="s">
        <v>132</v>
      </c>
      <c r="C17" s="23">
        <f>C15*'Fane 15. Nøgletal'!C21+C16*'Fane 15. Nøgletal'!C21</f>
        <v>353751.59452100546</v>
      </c>
      <c r="D17" s="14" t="s">
        <v>3</v>
      </c>
      <c r="E17" s="1"/>
    </row>
    <row r="18" spans="1:5" x14ac:dyDescent="0.25">
      <c r="A18" s="1"/>
      <c r="B18" s="33"/>
      <c r="C18" s="28"/>
      <c r="D18" s="19"/>
      <c r="E18" s="1"/>
    </row>
    <row r="19" spans="1:5" x14ac:dyDescent="0.25">
      <c r="A19" s="1"/>
      <c r="B19" s="1"/>
      <c r="C19" s="63"/>
      <c r="D19" s="1"/>
      <c r="E19" s="1"/>
    </row>
    <row r="20" spans="1:5" x14ac:dyDescent="0.25">
      <c r="A20" s="1"/>
      <c r="B20" s="108" t="s">
        <v>145</v>
      </c>
      <c r="C20" s="109"/>
      <c r="D20" s="110"/>
      <c r="E20" s="1"/>
    </row>
    <row r="21" spans="1:5" x14ac:dyDescent="0.25">
      <c r="A21" s="1"/>
      <c r="B21" s="65" t="s">
        <v>189</v>
      </c>
      <c r="C21" s="23">
        <f>(C15+C16-C17)*(1+'Fane 15. Nøgletal'!C10)</f>
        <v>18483060.936649658</v>
      </c>
      <c r="D21" s="14" t="s">
        <v>3</v>
      </c>
      <c r="E21" s="1"/>
    </row>
    <row r="22" spans="1:5" x14ac:dyDescent="0.25">
      <c r="A22" s="1"/>
      <c r="B22" s="65" t="s">
        <v>196</v>
      </c>
      <c r="C22" s="23">
        <f>C21*'Fane 15. Nøgletal'!C21</f>
        <v>369661.21873299318</v>
      </c>
      <c r="D22" s="14" t="s">
        <v>3</v>
      </c>
      <c r="E22" s="1"/>
    </row>
    <row r="23" spans="1:5" x14ac:dyDescent="0.25">
      <c r="A23" s="1"/>
      <c r="B23" s="33"/>
      <c r="C23" s="28"/>
      <c r="D23" s="19"/>
      <c r="E23" s="1"/>
    </row>
    <row r="24" spans="1:5" x14ac:dyDescent="0.25">
      <c r="A24" s="1"/>
      <c r="B24" s="1"/>
      <c r="C24" s="1"/>
      <c r="D24" s="1"/>
      <c r="E24" s="1"/>
    </row>
    <row r="25" spans="1:5" x14ac:dyDescent="0.25">
      <c r="A25" s="1"/>
      <c r="B25" s="108" t="s">
        <v>187</v>
      </c>
      <c r="C25" s="109"/>
      <c r="D25" s="110"/>
      <c r="E25" s="1"/>
    </row>
    <row r="26" spans="1:5" x14ac:dyDescent="0.25">
      <c r="A26" s="1"/>
      <c r="B26" s="65" t="s">
        <v>190</v>
      </c>
      <c r="C26" s="23">
        <f>(C21-C22)*(1+'Fane 15. Nøgletal'!C10)</f>
        <v>19314318.119214538</v>
      </c>
      <c r="D26" s="14" t="s">
        <v>3</v>
      </c>
      <c r="E26" s="1"/>
    </row>
    <row r="27" spans="1:5" x14ac:dyDescent="0.25">
      <c r="A27" s="1"/>
      <c r="B27" s="65" t="s">
        <v>194</v>
      </c>
      <c r="C27" s="23">
        <f>C26*'Fane 15. Nøgletal'!C21</f>
        <v>386286.36238429078</v>
      </c>
      <c r="D27" s="14" t="s">
        <v>3</v>
      </c>
      <c r="E27" s="1"/>
    </row>
    <row r="28" spans="1:5" x14ac:dyDescent="0.25">
      <c r="A28" s="1"/>
      <c r="B28" s="33"/>
      <c r="C28" s="28"/>
      <c r="D28" s="19"/>
      <c r="E28" s="1"/>
    </row>
    <row r="29" spans="1:5" x14ac:dyDescent="0.25">
      <c r="A29" s="1"/>
      <c r="B29" s="1"/>
      <c r="C29" s="1"/>
      <c r="D29" s="1"/>
      <c r="E29" s="1"/>
    </row>
    <row r="30" spans="1:5" x14ac:dyDescent="0.25">
      <c r="A30" s="1"/>
      <c r="B30" s="108" t="s">
        <v>188</v>
      </c>
      <c r="C30" s="109"/>
      <c r="D30" s="110"/>
      <c r="E30" s="1"/>
    </row>
    <row r="31" spans="1:5" x14ac:dyDescent="0.25">
      <c r="A31" s="1"/>
      <c r="B31" s="65" t="s">
        <v>191</v>
      </c>
      <c r="C31" s="23">
        <f>(C26-C27)*(1+'Fane 15. Nøgletal'!C10)</f>
        <v>20182960.262308095</v>
      </c>
      <c r="D31" s="14" t="s">
        <v>3</v>
      </c>
      <c r="E31" s="1"/>
    </row>
    <row r="32" spans="1:5" x14ac:dyDescent="0.25">
      <c r="A32" s="1"/>
      <c r="B32" s="65" t="s">
        <v>195</v>
      </c>
      <c r="C32" s="23">
        <f>C31*'Fane 15. Nøgletal'!C21</f>
        <v>403659.2052461619</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m9p4bjUUdy21RkBKkeQZfpS6Yj0LBTUUhJaaS0HEIF/TgyH3MjTa1DfcBGbm0Qc9ZzEfePNKoN6bivxpXZnvwQ==" saltValue="+kCR8qR2QT+s2249pXZCuA=="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1" t="s">
        <v>57</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35">
      <c r="A6" s="1"/>
      <c r="B6" s="69"/>
      <c r="C6" s="69"/>
      <c r="D6" s="69"/>
      <c r="E6" s="1"/>
    </row>
    <row r="7" spans="1:5" x14ac:dyDescent="0.25">
      <c r="A7" s="1"/>
      <c r="B7" s="1"/>
      <c r="C7" s="1"/>
      <c r="D7" s="1"/>
      <c r="E7" s="1"/>
    </row>
    <row r="8" spans="1:5" x14ac:dyDescent="0.25">
      <c r="A8" s="1"/>
      <c r="B8" s="108" t="s">
        <v>147</v>
      </c>
      <c r="C8" s="109"/>
      <c r="D8" s="110"/>
      <c r="E8" s="1"/>
    </row>
    <row r="9" spans="1:5" x14ac:dyDescent="0.25">
      <c r="A9" s="1"/>
      <c r="B9" s="65" t="s">
        <v>134</v>
      </c>
      <c r="C9" s="23">
        <v>29943548.155405156</v>
      </c>
      <c r="D9" s="14" t="s">
        <v>3</v>
      </c>
      <c r="E9" s="1"/>
    </row>
    <row r="10" spans="1:5" x14ac:dyDescent="0.25">
      <c r="A10" s="1"/>
      <c r="B10" s="65" t="s">
        <v>126</v>
      </c>
      <c r="C10" s="23">
        <f>('Fane 3. Omkostninger i ØR2024'!C11+'Fane 3. Omkostninger i ØR2024'!C13+'Fane 3. Omkostninger i ØR2024'!C15)*(1+'Fane 15. Nøgletal'!C9)</f>
        <v>264547.89201890561</v>
      </c>
      <c r="D10" s="14" t="s">
        <v>3</v>
      </c>
      <c r="E10" s="1"/>
    </row>
    <row r="11" spans="1:5" x14ac:dyDescent="0.25">
      <c r="A11" s="1"/>
      <c r="B11" s="65" t="s">
        <v>135</v>
      </c>
      <c r="C11" s="82">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8" t="s">
        <v>146</v>
      </c>
      <c r="C14" s="109"/>
      <c r="D14" s="110"/>
      <c r="E14" s="1"/>
    </row>
    <row r="15" spans="1:5" x14ac:dyDescent="0.25">
      <c r="A15" s="1"/>
      <c r="B15" s="65" t="s">
        <v>136</v>
      </c>
      <c r="C15" s="23">
        <f>(C9+C10-C11)*(1+'Fane 15. Nøgletal'!C9)</f>
        <v>32648910.208055928</v>
      </c>
      <c r="D15" s="14" t="s">
        <v>3</v>
      </c>
      <c r="E15" s="1"/>
    </row>
    <row r="16" spans="1:5" x14ac:dyDescent="0.25">
      <c r="A16" s="1"/>
      <c r="B16" s="65" t="s">
        <v>185</v>
      </c>
      <c r="C16" s="23">
        <f>('Fane 2.1. Økonomisk ramme 2025'!C11+'Fane 2.1. Økonomisk ramme 2025'!C13+'Fane 2.1. Økonomisk ramme 2025'!C15)*(1+'Fane 15. Nøgletal'!C10)</f>
        <v>772762.75909470802</v>
      </c>
      <c r="D16" s="14" t="s">
        <v>3</v>
      </c>
      <c r="E16" s="1"/>
    </row>
    <row r="17" spans="1:5" x14ac:dyDescent="0.25">
      <c r="A17" s="1"/>
      <c r="B17" s="65" t="s">
        <v>137</v>
      </c>
      <c r="C17" s="82">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8" t="s">
        <v>82</v>
      </c>
      <c r="C20" s="109"/>
      <c r="D20" s="110"/>
      <c r="E20" s="1"/>
    </row>
    <row r="21" spans="1:5" x14ac:dyDescent="0.25">
      <c r="A21" s="1"/>
      <c r="B21" s="65" t="s">
        <v>192</v>
      </c>
      <c r="C21" s="23">
        <f>(C15+C16-C17)*(1+'Fane 15. Nøgletal'!C10)</f>
        <v>35637529.884872727</v>
      </c>
      <c r="D21" s="14" t="s">
        <v>3</v>
      </c>
      <c r="E21" s="1"/>
    </row>
    <row r="22" spans="1:5" x14ac:dyDescent="0.25">
      <c r="A22" s="1"/>
      <c r="B22" s="65" t="s">
        <v>197</v>
      </c>
      <c r="C22" s="82">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8" t="s">
        <v>138</v>
      </c>
      <c r="C25" s="109"/>
      <c r="D25" s="110"/>
      <c r="E25" s="1"/>
    </row>
    <row r="26" spans="1:5" x14ac:dyDescent="0.25">
      <c r="A26" s="1"/>
      <c r="B26" s="65" t="s">
        <v>193</v>
      </c>
      <c r="C26" s="23">
        <f>(C21-C22)*(1+'Fane 15. Nøgletal'!C10)</f>
        <v>38000298.116239786</v>
      </c>
      <c r="D26" s="14" t="s">
        <v>3</v>
      </c>
      <c r="E26" s="1"/>
    </row>
    <row r="27" spans="1:5" x14ac:dyDescent="0.25">
      <c r="A27" s="1"/>
      <c r="B27" s="65" t="s">
        <v>198</v>
      </c>
      <c r="C27" s="82">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8" t="s">
        <v>163</v>
      </c>
      <c r="C30" s="109"/>
      <c r="D30" s="110"/>
      <c r="E30" s="1"/>
    </row>
    <row r="31" spans="1:5" x14ac:dyDescent="0.25">
      <c r="A31" s="1"/>
      <c r="B31" s="65" t="s">
        <v>200</v>
      </c>
      <c r="C31" s="23">
        <f>(C26-C27)*(1+'Fane 15. Nøgletal'!C10)</f>
        <v>40519717.881346487</v>
      </c>
      <c r="D31" s="14" t="s">
        <v>3</v>
      </c>
      <c r="E31" s="1"/>
    </row>
    <row r="32" spans="1:5" x14ac:dyDescent="0.25">
      <c r="A32" s="1"/>
      <c r="B32" s="65" t="s">
        <v>199</v>
      </c>
      <c r="C32" s="82">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CfQwT/puUv6G1NqNjAjBLQLjariVBkpTGwUzr4DCQ6lpssrYZPE5esiGSsGQ18Vu9e4rG6nwmqmVxMiE20ysIw==" saltValue="p2Om0Lc2Q/+39CaKMzIneg=="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4" t="s">
        <v>44</v>
      </c>
      <c r="C3" s="104"/>
      <c r="D3" s="1"/>
    </row>
    <row r="4" spans="1:4" ht="15" customHeight="1" x14ac:dyDescent="0.25">
      <c r="A4" s="1"/>
      <c r="B4" s="104"/>
      <c r="C4" s="10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8" t="s">
        <v>10</v>
      </c>
      <c r="C8" s="110"/>
      <c r="D8" s="1"/>
    </row>
    <row r="9" spans="1:4" x14ac:dyDescent="0.25">
      <c r="A9" s="1"/>
      <c r="B9" s="65" t="s">
        <v>164</v>
      </c>
      <c r="C9" s="22">
        <v>0</v>
      </c>
      <c r="D9" s="1"/>
    </row>
    <row r="10" spans="1:4" x14ac:dyDescent="0.25">
      <c r="A10" s="1"/>
      <c r="B10" s="33"/>
      <c r="C10" s="19"/>
      <c r="D10" s="1"/>
    </row>
    <row r="11" spans="1:4" x14ac:dyDescent="0.25">
      <c r="A11" s="1"/>
      <c r="B11" s="112" t="s">
        <v>220</v>
      </c>
      <c r="C11" s="113"/>
      <c r="D11" s="1"/>
    </row>
    <row r="12" spans="1:4" x14ac:dyDescent="0.25">
      <c r="A12" s="1"/>
      <c r="B12" s="114"/>
      <c r="C12" s="115"/>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xBLuR86zmxSttToG8khq9XpvGZ0GXHB4oD4XA5/s0OXI2wdGEhAwjR4gqBhuvp0R18PhYb/0TQimFMUili4k6A==" saltValue="Z8RhwaeQVrxrIIqKvD0JIA=="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2024-05-06T07:45:39Z</cp:lastPrinted>
  <dcterms:created xsi:type="dcterms:W3CDTF">2016-06-02T08:51:18Z</dcterms:created>
  <dcterms:modified xsi:type="dcterms:W3CDTF">2024-08-20T10:20:20Z</dcterms:modified>
</cp:coreProperties>
</file>