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Middelfart Spildevand AS (S067)\ØR2027\"/>
    </mc:Choice>
  </mc:AlternateContent>
  <xr:revisionPtr revIDLastSave="0" documentId="13_ncr:1_{396B76A9-1F37-444D-B3A9-25820F22980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2027'!$A$1:$E$26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2027'!$A$1:$E$26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2027'!$B$8:$D$24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2027'!$B$22</definedName>
    <definedName name="ØR_Tabel_Total">'1. Økonomisk ramme 2027'!$B$24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9" i="3" s="1"/>
  <c r="C16" i="6"/>
  <c r="C16" i="12" l="1"/>
  <c r="C22" i="3" s="1"/>
  <c r="C12" i="11"/>
  <c r="C20" i="3" s="1"/>
  <c r="C14" i="3"/>
  <c r="E19" i="9"/>
  <c r="C10" i="7"/>
  <c r="C20" i="7" s="1"/>
  <c r="C11" i="4" s="1"/>
  <c r="C12" i="4" s="1"/>
  <c r="C15" i="4" s="1"/>
  <c r="C19" i="4" s="1"/>
  <c r="C24" i="4" s="1"/>
  <c r="C13" i="3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4" i="3" s="1"/>
</calcChain>
</file>

<file path=xl/sharedStrings.xml><?xml version="1.0" encoding="utf-8"?>
<sst xmlns="http://schemas.openxmlformats.org/spreadsheetml/2006/main" count="337" uniqueCount="157">
  <si>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</si>
  <si>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</si>
  <si>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</si>
  <si>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</si>
  <si>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</si>
  <si>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</si>
  <si>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</si>
  <si>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</si>
  <si>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</si>
  <si>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</si>
  <si>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</si>
  <si>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</si>
  <si>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</si>
  <si>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</si>
  <si>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</si>
  <si>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</si>
  <si>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</si>
  <si>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</si>
  <si>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</si>
  <si>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</si>
  <si>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</si>
  <si>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</si>
  <si>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</si>
  <si>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</si>
  <si>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</si>
  <si>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</si>
  <si>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</si>
  <si>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</si>
  <si>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</si>
  <si>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</si>
  <si>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</si>
  <si>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</si>
  <si>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</si>
  <si>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</si>
  <si>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</si>
  <si>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</si>
  <si>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</si>
  <si>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</si>
  <si>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</si>
  <si>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</si>
  <si>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</si>
  <si>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</si>
  <si>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</si>
  <si>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</si>
  <si>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</si>
  <si>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</si>
  <si>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</si>
  <si>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</si>
  <si>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</si>
  <si>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</si>
  <si>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</si>
  <si>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</si>
  <si>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</si>
  <si>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</si>
  <si>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</si>
  <si>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</si>
  <si>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</si>
  <si>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</si>
  <si>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</si>
  <si>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</si>
  <si>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</si>
  <si>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</si>
  <si>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</si>
  <si>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</si>
  <si>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</si>
  <si>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</si>
  <si>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</si>
  <si>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</si>
  <si>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</si>
  <si>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</si>
  <si>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</si>
  <si>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</si>
  <si>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</si>
  <si>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</si>
  <si>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</si>
  <si>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</si>
  <si>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</si>
  <si>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</si>
  <si>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</si>
  <si>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</si>
  <si>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</si>
  <si>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</si>
  <si>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</si>
  <si>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</si>
  <si>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</si>
  <si>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</si>
  <si>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</si>
  <si>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</si>
  <si>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</si>
  <si>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</si>
  <si>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</si>
  <si>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</si>
  <si>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</si>
  <si>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</si>
  <si>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</si>
  <si>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</si>
  <si>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</si>
  <si>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</si>
  <si>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</si>
  <si>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</si>
  <si>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</si>
  <si>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</si>
  <si>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</si>
  <si>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</si>
  <si>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</si>
  <si>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</si>
  <si>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</si>
  <si>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</si>
  <si>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</si>
  <si>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</si>
  <si>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</si>
  <si>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</si>
  <si>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</si>
  <si>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</si>
  <si>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</si>
  <si>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</si>
  <si>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</si>
  <si>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</si>
  <si>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</si>
  <si>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</si>
  <si>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</si>
  <si>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</si>
  <si>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</si>
  <si>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</si>
  <si>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</si>
  <si>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</si>
  <si>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</si>
  <si>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</si>
  <si>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</si>
  <si>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</si>
  <si>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</si>
  <si>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</si>
  <si>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</si>
  <si>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</si>
  <si>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</si>
  <si>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</si>
  <si>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</si>
  <si>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</si>
  <si>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</si>
  <si>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</si>
  <si>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</si>
  <si>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</si>
  <si>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</si>
  <si>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</si>
  <si>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</si>
  <si>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</si>
  <si>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</si>
  <si>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</si>
  <si>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Rettelser af mængder af anlægsaktiver i POLKA</t>
  </si>
  <si>
    <t>Gebyr til Miljøstyrelsen</t>
  </si>
  <si>
    <t>Jernbane Vestfyn - Omlægning af kloak</t>
  </si>
  <si>
    <t>Udvidelser 2025</t>
  </si>
  <si>
    <t xml:space="preserve">Periodevise driftsomkostninger </t>
  </si>
  <si>
    <t xml:space="preserve">Periodevise driftsomksotninger 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</si>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</sst>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8" fillId="2" borderId="0" xfId="0" applyFont="1" applyFill="1" applyAlignment="1" applyProtection="1">
      <alignment vertical="top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5gxjbB8PdFGwBABDJyQOUYJMJpjJanM3PNDGptPqySfPx7tVyo+E/kiz7zZRnTQKGAnpR/RSduk+TQawNhRHNA==" saltValue="01zPULAmVF7ALFtmHlreu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86529955.196621463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698645.252217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148</v>
      </c>
      <c r="C12" s="32">
        <v>1610969.7178074569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0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-590817.16402859718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2550388.9617756405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90799141.96439296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customHeight="1" x14ac:dyDescent="0.25">
      <c r="A21" s="11"/>
      <c r="B21" s="40" t="s">
        <v>156</v>
      </c>
      <c r="C21" s="34">
        <v>-1728048.4507073611</v>
      </c>
      <c r="D21" s="39" t="s">
        <v>31</v>
      </c>
      <c r="E21" s="11"/>
    </row>
    <row r="22" spans="1:5" ht="15" customHeight="1" x14ac:dyDescent="0.25">
      <c r="A22" s="11"/>
      <c r="B22" s="28" t="s">
        <v>22</v>
      </c>
      <c r="C22" s="34">
        <f>'5.5. Korr. af ØR2025'!C16</f>
        <v>0</v>
      </c>
      <c r="D22" s="39" t="s">
        <v>31</v>
      </c>
      <c r="E22" s="11"/>
    </row>
    <row r="23" spans="1:5" ht="15" customHeight="1" x14ac:dyDescent="0.25">
      <c r="A23" s="11"/>
      <c r="B23" s="38" t="s">
        <v>42</v>
      </c>
      <c r="C23" s="34">
        <v>0</v>
      </c>
      <c r="D23" s="39" t="s">
        <v>31</v>
      </c>
      <c r="E23" s="11"/>
    </row>
    <row r="24" spans="1:5" ht="15" customHeight="1" x14ac:dyDescent="0.25">
      <c r="A24" s="11"/>
      <c r="B24" s="25" t="s">
        <v>4</v>
      </c>
      <c r="C24" s="41">
        <f>SUM(C18:C23)</f>
        <v>89071093.513685599</v>
      </c>
      <c r="D24" s="27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fJTNOh6Yh62LVoT2tK4VhTfebWq61pTT1z3/6uwzcFBWFJd6oHLzqYN3khVcv+pBxF7nO1P+NaLgyBYur6zWdA==" saltValue="oEZMaoim8qj3KlIJXvXKC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85009850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798391.69390399999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1075466.3957810099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86883708.089685008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89643330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-2759621.9103149921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-1241177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-4000798.9103149921</v>
      </c>
      <c r="D19" s="27" t="s">
        <v>31</v>
      </c>
      <c r="E19" s="11"/>
    </row>
    <row r="20" spans="1:5" ht="28.5" customHeight="1" x14ac:dyDescent="0.25">
      <c r="A20" s="11"/>
      <c r="B20" s="49" t="s">
        <v>154</v>
      </c>
      <c r="C20" s="50"/>
      <c r="D20" s="51"/>
      <c r="E20" s="11"/>
    </row>
    <row r="21" spans="1:5" ht="15" customHeight="1" x14ac:dyDescent="0.25">
      <c r="A21" s="11"/>
      <c r="B21" s="11"/>
      <c r="C21" s="52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3" t="s">
        <v>144</v>
      </c>
      <c r="C23" s="54">
        <f>100*-1241177/(76367756+1274384)</f>
        <v>-1.5985867983546049</v>
      </c>
      <c r="D23" s="46" t="s">
        <v>145</v>
      </c>
      <c r="E23" s="11"/>
    </row>
    <row r="24" spans="1:5" ht="15" customHeight="1" x14ac:dyDescent="0.25">
      <c r="A24" s="11"/>
      <c r="B24" s="53" t="s">
        <v>146</v>
      </c>
      <c r="C24" s="54">
        <f>C19/C12*100</f>
        <v>-4.6047745869515602</v>
      </c>
      <c r="D24" s="46" t="s">
        <v>145</v>
      </c>
      <c r="E24" s="11"/>
    </row>
    <row r="25" spans="1:5" ht="56.25" customHeight="1" x14ac:dyDescent="0.25">
      <c r="A25" s="11"/>
      <c r="B25" s="55" t="s">
        <v>147</v>
      </c>
      <c r="C25" s="56"/>
      <c r="D25" s="57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mc12cH8EbQHvhqNES61fGsUqgel4WY6Ykzy3dEfHTOc1xkOiWICaDMmlk84BcHF1DcfXW6f2EgaTJOutn/Th6g==" saltValue="fOMBx7LHmwxT711Tzxu6C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8"/>
      <c r="B1" s="58"/>
      <c r="C1" s="58"/>
      <c r="D1" s="58"/>
      <c r="E1" s="58"/>
    </row>
    <row r="2" spans="1:5" ht="15" customHeight="1" x14ac:dyDescent="0.25">
      <c r="A2" s="58"/>
      <c r="B2" s="58"/>
      <c r="C2" s="58"/>
      <c r="D2" s="58"/>
      <c r="E2" s="58"/>
    </row>
    <row r="3" spans="1:5" ht="24.95" customHeight="1" x14ac:dyDescent="0.25">
      <c r="A3" s="58"/>
      <c r="B3" s="59" t="s">
        <v>87</v>
      </c>
      <c r="C3" s="59"/>
      <c r="D3" s="59"/>
      <c r="E3" s="58"/>
    </row>
    <row r="4" spans="1:5" ht="15" customHeight="1" x14ac:dyDescent="0.25">
      <c r="A4" s="58"/>
      <c r="B4" s="59"/>
      <c r="C4" s="59"/>
      <c r="D4" s="59"/>
      <c r="E4" s="58"/>
    </row>
    <row r="5" spans="1:5" ht="15" customHeight="1" x14ac:dyDescent="0.25">
      <c r="A5" s="58"/>
      <c r="B5" s="59"/>
      <c r="C5" s="59"/>
      <c r="D5" s="59"/>
      <c r="E5" s="58"/>
    </row>
    <row r="6" spans="1:5" ht="15" customHeight="1" x14ac:dyDescent="0.25">
      <c r="A6" s="58"/>
      <c r="B6" s="58"/>
      <c r="C6" s="58"/>
      <c r="D6" s="58"/>
      <c r="E6" s="58"/>
    </row>
    <row r="7" spans="1:5" ht="15" customHeight="1" x14ac:dyDescent="0.25">
      <c r="A7" s="58"/>
      <c r="B7" s="58"/>
      <c r="C7" s="58"/>
      <c r="D7" s="58"/>
      <c r="E7" s="58"/>
    </row>
    <row r="8" spans="1:5" ht="15" customHeight="1" x14ac:dyDescent="0.25">
      <c r="A8" s="58"/>
      <c r="B8" s="60" t="s">
        <v>135</v>
      </c>
      <c r="C8" s="61"/>
      <c r="D8" s="62"/>
      <c r="E8" s="58"/>
    </row>
    <row r="9" spans="1:5" ht="15" customHeight="1" x14ac:dyDescent="0.25">
      <c r="A9" s="58"/>
      <c r="B9" s="63" t="s">
        <v>122</v>
      </c>
      <c r="C9" s="64">
        <v>83877195.707739994</v>
      </c>
      <c r="D9" s="65" t="s">
        <v>31</v>
      </c>
      <c r="E9" s="58"/>
    </row>
    <row r="10" spans="1:5" ht="15" customHeight="1" x14ac:dyDescent="0.25">
      <c r="A10" s="58"/>
      <c r="B10" s="66" t="s">
        <v>32</v>
      </c>
      <c r="C10" s="64">
        <v>798391.69390399999</v>
      </c>
      <c r="D10" s="65" t="s">
        <v>31</v>
      </c>
      <c r="E10" s="58"/>
    </row>
    <row r="11" spans="1:5" ht="15" customHeight="1" x14ac:dyDescent="0.25">
      <c r="A11" s="58"/>
      <c r="B11" s="66" t="s">
        <v>62</v>
      </c>
      <c r="C11" s="67">
        <v>0</v>
      </c>
      <c r="D11" s="65" t="s">
        <v>31</v>
      </c>
      <c r="E11" s="58"/>
    </row>
    <row r="12" spans="1:5" ht="15" customHeight="1" x14ac:dyDescent="0.25">
      <c r="A12" s="58"/>
      <c r="B12" s="66" t="s">
        <v>24</v>
      </c>
      <c r="C12" s="68">
        <v>0</v>
      </c>
      <c r="D12" s="65" t="s">
        <v>31</v>
      </c>
      <c r="E12" s="58"/>
    </row>
    <row r="13" spans="1:5" ht="15" customHeight="1" x14ac:dyDescent="0.25">
      <c r="A13" s="58"/>
      <c r="B13" s="66" t="s">
        <v>34</v>
      </c>
      <c r="C13" s="68">
        <v>0</v>
      </c>
      <c r="D13" s="65" t="s">
        <v>31</v>
      </c>
      <c r="E13" s="58"/>
    </row>
    <row r="14" spans="1:5" ht="15" customHeight="1" x14ac:dyDescent="0.25">
      <c r="A14" s="58"/>
      <c r="B14" s="66" t="s">
        <v>35</v>
      </c>
      <c r="C14" s="69">
        <v>0</v>
      </c>
      <c r="D14" s="65" t="s">
        <v>31</v>
      </c>
      <c r="E14" s="58"/>
    </row>
    <row r="15" spans="1:5" ht="15" customHeight="1" x14ac:dyDescent="0.25">
      <c r="A15" s="58"/>
      <c r="B15" s="66" t="s">
        <v>36</v>
      </c>
      <c r="C15" s="69">
        <v>-576107.18333175045</v>
      </c>
      <c r="D15" s="65" t="s">
        <v>31</v>
      </c>
      <c r="E15" s="58"/>
    </row>
    <row r="16" spans="1:5" ht="15" customHeight="1" x14ac:dyDescent="0.25">
      <c r="A16" s="58"/>
      <c r="B16" s="66" t="s">
        <v>37</v>
      </c>
      <c r="C16" s="68">
        <v>2430474.9783092234</v>
      </c>
      <c r="D16" s="65" t="s">
        <v>31</v>
      </c>
      <c r="E16" s="58"/>
    </row>
    <row r="17" spans="1:5" ht="15" customHeight="1" x14ac:dyDescent="0.25">
      <c r="A17" s="58"/>
      <c r="B17" s="70" t="s">
        <v>38</v>
      </c>
      <c r="C17" s="71">
        <v>86529955.196621463</v>
      </c>
      <c r="D17" s="72" t="s">
        <v>31</v>
      </c>
      <c r="E17" s="58"/>
    </row>
    <row r="18" spans="1:5" ht="15" customHeight="1" x14ac:dyDescent="0.25">
      <c r="A18" s="58"/>
      <c r="B18" s="73" t="s">
        <v>123</v>
      </c>
      <c r="C18" s="69">
        <v>0</v>
      </c>
      <c r="D18" s="74" t="s">
        <v>31</v>
      </c>
      <c r="E18" s="58"/>
    </row>
    <row r="19" spans="1:5" ht="27" customHeight="1" x14ac:dyDescent="0.25">
      <c r="A19" s="58"/>
      <c r="B19" s="75" t="s">
        <v>40</v>
      </c>
      <c r="C19" s="69">
        <v>0</v>
      </c>
      <c r="D19" s="74" t="s">
        <v>31</v>
      </c>
      <c r="E19" s="58"/>
    </row>
    <row r="20" spans="1:5" ht="15" customHeight="1" x14ac:dyDescent="0.25">
      <c r="A20" s="58"/>
      <c r="B20" s="76" t="s">
        <v>41</v>
      </c>
      <c r="C20" s="77">
        <v>-1728048.4507073611</v>
      </c>
      <c r="D20" s="78" t="s">
        <v>31</v>
      </c>
      <c r="E20" s="58"/>
    </row>
    <row r="21" spans="1:5" ht="15" customHeight="1" x14ac:dyDescent="0.25">
      <c r="A21" s="58"/>
      <c r="B21" s="63" t="s">
        <v>124</v>
      </c>
      <c r="C21" s="69">
        <v>0</v>
      </c>
      <c r="D21" s="74" t="s">
        <v>31</v>
      </c>
      <c r="E21" s="58"/>
    </row>
    <row r="22" spans="1:5" ht="15" customHeight="1" x14ac:dyDescent="0.25">
      <c r="A22" s="58"/>
      <c r="B22" s="73" t="s">
        <v>42</v>
      </c>
      <c r="C22" s="69">
        <v>0</v>
      </c>
      <c r="D22" s="74" t="s">
        <v>31</v>
      </c>
      <c r="E22" s="58"/>
    </row>
    <row r="23" spans="1:5" ht="15" customHeight="1" x14ac:dyDescent="0.25">
      <c r="A23" s="58"/>
      <c r="B23" s="60" t="s">
        <v>155</v>
      </c>
      <c r="C23" s="79">
        <v>84801906.745914102</v>
      </c>
      <c r="D23" s="62" t="s">
        <v>31</v>
      </c>
      <c r="E23" s="58"/>
    </row>
    <row r="24" spans="1:5" ht="30" customHeight="1" x14ac:dyDescent="0.25">
      <c r="A24" s="58"/>
      <c r="B24" s="80" t="s">
        <v>136</v>
      </c>
      <c r="C24" s="80"/>
      <c r="D24" s="80"/>
      <c r="E24" s="58"/>
    </row>
    <row r="25" spans="1:5" ht="15" customHeight="1" x14ac:dyDescent="0.25">
      <c r="A25" s="58"/>
      <c r="B25" s="58"/>
      <c r="C25" s="58"/>
      <c r="D25" s="58"/>
      <c r="E25" s="58"/>
    </row>
    <row r="26" spans="1:5" ht="15" customHeight="1" x14ac:dyDescent="0.25"/>
  </sheetData>
  <sheetProtection algorithmName="SHA-512" hashValue="5upnhncDtuW80DSENKVdYKNBPYX2nUcJA2XEaI1KP739V20qmjcqzXMj+lavSrdxwwHBvTqYWTgGOYbHiU/A0w==" saltValue="4BjV+/7UXL9HAuDuNVgIs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1"/>
      <c r="C1" s="81"/>
      <c r="D1" s="81"/>
      <c r="E1" s="11"/>
    </row>
    <row r="2" spans="1:5" ht="15" customHeight="1" x14ac:dyDescent="0.25">
      <c r="A2" s="11"/>
      <c r="B2" s="81"/>
      <c r="C2" s="81"/>
      <c r="D2" s="81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2"/>
      <c r="C6" s="82"/>
      <c r="D6" s="82"/>
      <c r="E6" s="11"/>
    </row>
    <row r="7" spans="1:5" ht="15" customHeight="1" x14ac:dyDescent="0.25">
      <c r="A7" s="11"/>
      <c r="B7" s="83"/>
      <c r="C7" s="11"/>
      <c r="D7" s="11"/>
      <c r="E7" s="11"/>
    </row>
    <row r="8" spans="1:5" ht="14.25" customHeight="1" x14ac:dyDescent="0.25">
      <c r="A8" s="11"/>
      <c r="B8" s="84" t="s">
        <v>88</v>
      </c>
      <c r="C8" s="85"/>
      <c r="D8" s="86"/>
      <c r="E8" s="11"/>
    </row>
    <row r="9" spans="1:5" ht="15" customHeight="1" x14ac:dyDescent="0.25">
      <c r="A9" s="11"/>
      <c r="B9" s="53" t="s">
        <v>89</v>
      </c>
      <c r="C9" s="2">
        <v>29637834.046501897</v>
      </c>
      <c r="D9" s="46" t="s">
        <v>31</v>
      </c>
      <c r="E9" s="11"/>
    </row>
    <row r="10" spans="1:5" ht="15" customHeight="1" x14ac:dyDescent="0.25">
      <c r="A10" s="11"/>
      <c r="B10" s="87" t="s">
        <v>90</v>
      </c>
      <c r="C10" s="3">
        <f>-'8. Nøgletal'!C19*C9</f>
        <v>-592756.68093003798</v>
      </c>
      <c r="D10" s="46" t="s">
        <v>31</v>
      </c>
      <c r="E10" s="11"/>
    </row>
    <row r="11" spans="1:5" ht="15" customHeight="1" x14ac:dyDescent="0.25">
      <c r="A11" s="11"/>
      <c r="B11" s="87" t="s">
        <v>91</v>
      </c>
      <c r="C11" s="2">
        <f>('5.2. Varige tillæg'!C18)*(1+'8. Nøgletal'!C9)*(1-'8. Nøgletal'!C19)+'5.6 Anlægsprojekter'!C12-'6. Bortfald'!C12+'7. Tilknyttet virksomhed'!C12</f>
        <v>495780.83585799998</v>
      </c>
      <c r="D11" s="46" t="s">
        <v>31</v>
      </c>
      <c r="E11" s="11"/>
    </row>
    <row r="12" spans="1:5" ht="15" customHeight="1" x14ac:dyDescent="0.25">
      <c r="A12" s="11"/>
      <c r="B12" s="53" t="s">
        <v>92</v>
      </c>
      <c r="C12" s="2">
        <f>SUM(C9:C11)</f>
        <v>29540858.201429859</v>
      </c>
      <c r="D12" s="46" t="s">
        <v>31</v>
      </c>
      <c r="E12" s="11"/>
    </row>
    <row r="13" spans="1:5" ht="15" customHeight="1" x14ac:dyDescent="0.25">
      <c r="A13" s="11"/>
      <c r="B13" s="88" t="s">
        <v>93</v>
      </c>
      <c r="C13" s="89">
        <f>-C12*'8. Nøgletal'!C19</f>
        <v>-590817.16402859718</v>
      </c>
      <c r="D13" s="90" t="s">
        <v>31</v>
      </c>
      <c r="E13" s="91"/>
    </row>
    <row r="14" spans="1:5" ht="15" customHeight="1" x14ac:dyDescent="0.25">
      <c r="A14" s="11"/>
      <c r="B14" s="84" t="s">
        <v>94</v>
      </c>
      <c r="C14" s="85"/>
      <c r="D14" s="86"/>
      <c r="E14" s="11"/>
    </row>
    <row r="15" spans="1:5" ht="15" customHeight="1" x14ac:dyDescent="0.25">
      <c r="A15" s="11"/>
      <c r="B15" s="44" t="s">
        <v>46</v>
      </c>
      <c r="C15" s="3">
        <v>64583684.95957534</v>
      </c>
      <c r="D15" s="46" t="s">
        <v>31</v>
      </c>
      <c r="E15" s="11"/>
    </row>
    <row r="16" spans="1:5" ht="15" customHeight="1" x14ac:dyDescent="0.25">
      <c r="A16" s="11"/>
      <c r="B16" s="87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7" t="s">
        <v>95</v>
      </c>
      <c r="C17" s="2">
        <f>('5.2. Varige tillæg'!E18)*(1+'8. Nøgletal'!C9)*(1-'8. Nøgletal'!C14)+'5.6 Anlægsprojekter'!E12-'6. Bortfald'!E12+'7. Tilknyttet virksomhed'!E12+'1. Økonomisk ramme 2027'!C12</f>
        <v>1813834.1341664568</v>
      </c>
      <c r="D17" s="46" t="s">
        <v>31</v>
      </c>
      <c r="E17" s="11"/>
    </row>
    <row r="18" spans="1:5" ht="15" customHeight="1" x14ac:dyDescent="0.25">
      <c r="A18" s="11"/>
      <c r="B18" s="53" t="s">
        <v>96</v>
      </c>
      <c r="C18" s="2">
        <f>SUM(C15:C17)</f>
        <v>66397519.093741797</v>
      </c>
      <c r="D18" s="46" t="s">
        <v>31</v>
      </c>
      <c r="E18" s="11"/>
    </row>
    <row r="19" spans="1:5" ht="15" customHeight="1" x14ac:dyDescent="0.25">
      <c r="A19" s="11"/>
      <c r="B19" s="88" t="s">
        <v>97</v>
      </c>
      <c r="C19" s="89">
        <f>-C18*'8. Nøgletal'!C15</f>
        <v>0</v>
      </c>
      <c r="D19" s="90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-590817.16402859718</v>
      </c>
      <c r="D20" s="27" t="s">
        <v>31</v>
      </c>
      <c r="E20" s="11"/>
    </row>
    <row r="21" spans="1:5" ht="39.950000000000003" customHeight="1" x14ac:dyDescent="0.25">
      <c r="A21" s="11"/>
      <c r="B21" s="92" t="s">
        <v>125</v>
      </c>
      <c r="C21" s="93"/>
      <c r="D21" s="94"/>
      <c r="E21" s="91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pfAPPzXNWdirCfEFBuN8MS3Pi7JuoaSpdQgp4Pmy/ofqQk+VGocOcRy09c1ZfbY91fjgfaCVQMx3/GLTbQ4KSA==" saltValue="dIlrpOje0FezRT782fWe5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5" t="s">
        <v>99</v>
      </c>
      <c r="C8" s="96"/>
      <c r="D8" s="97"/>
      <c r="E8" s="11"/>
    </row>
    <row r="9" spans="1:5" ht="15" customHeight="1" x14ac:dyDescent="0.25">
      <c r="A9" s="11"/>
      <c r="B9" s="98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8" t="s">
        <v>138</v>
      </c>
      <c r="C10" s="33">
        <f>'5.1.a. § 10-tillæg'!E10</f>
        <v>5836.0857810099988</v>
      </c>
      <c r="D10" s="46" t="s">
        <v>31</v>
      </c>
      <c r="E10" s="11"/>
    </row>
    <row r="11" spans="1:5" ht="15" customHeight="1" x14ac:dyDescent="0.25">
      <c r="A11" s="11"/>
      <c r="B11" s="98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8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9" t="s">
        <v>149</v>
      </c>
      <c r="C13" s="100">
        <v>68802</v>
      </c>
      <c r="D13" s="46" t="s">
        <v>31</v>
      </c>
      <c r="E13" s="11"/>
    </row>
    <row r="14" spans="1:5" ht="15" customHeight="1" x14ac:dyDescent="0.25">
      <c r="A14" s="11"/>
      <c r="B14" s="99"/>
      <c r="C14" s="100"/>
      <c r="D14" s="46" t="s">
        <v>31</v>
      </c>
      <c r="E14" s="11"/>
    </row>
    <row r="15" spans="1:5" ht="15" customHeight="1" x14ac:dyDescent="0.25">
      <c r="A15" s="11"/>
      <c r="B15" s="99"/>
      <c r="C15" s="100"/>
      <c r="D15" s="46" t="s">
        <v>31</v>
      </c>
      <c r="E15" s="11"/>
    </row>
    <row r="16" spans="1:5" ht="15" customHeight="1" x14ac:dyDescent="0.25">
      <c r="A16" s="11"/>
      <c r="B16" s="99"/>
      <c r="C16" s="100"/>
      <c r="D16" s="46" t="s">
        <v>31</v>
      </c>
      <c r="E16" s="11"/>
    </row>
    <row r="17" spans="1:5" ht="15" customHeight="1" x14ac:dyDescent="0.25">
      <c r="A17" s="11"/>
      <c r="B17" s="99"/>
      <c r="C17" s="100"/>
      <c r="D17" s="46" t="s">
        <v>31</v>
      </c>
      <c r="E17" s="11"/>
    </row>
    <row r="18" spans="1:5" ht="15" customHeight="1" x14ac:dyDescent="0.25">
      <c r="A18" s="11"/>
      <c r="B18" s="99"/>
      <c r="C18" s="100"/>
      <c r="D18" s="46" t="s">
        <v>31</v>
      </c>
      <c r="E18" s="11"/>
    </row>
    <row r="19" spans="1:5" ht="15" customHeight="1" x14ac:dyDescent="0.25">
      <c r="A19" s="11"/>
      <c r="B19" s="99"/>
      <c r="C19" s="100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1">
        <f>SUM(C9:C19)</f>
        <v>74638.085781009999</v>
      </c>
      <c r="D20" s="102" t="s">
        <v>31</v>
      </c>
      <c r="E20" s="11"/>
    </row>
    <row r="21" spans="1:5" ht="15" customHeight="1" x14ac:dyDescent="0.25">
      <c r="A21" s="11"/>
      <c r="B21" s="103"/>
      <c r="C21" s="104"/>
      <c r="D21" s="104"/>
      <c r="E21" s="11"/>
    </row>
    <row r="22" spans="1:5" ht="15" customHeight="1" x14ac:dyDescent="0.25">
      <c r="A22" s="11"/>
      <c r="B22" s="84" t="s">
        <v>39</v>
      </c>
      <c r="C22" s="85"/>
      <c r="D22" s="86"/>
      <c r="E22" s="11"/>
    </row>
    <row r="23" spans="1:5" ht="15" customHeight="1" x14ac:dyDescent="0.25">
      <c r="A23" s="11"/>
      <c r="B23" s="105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5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1">
        <f>SUM(C23:C24)</f>
        <v>0</v>
      </c>
      <c r="D25" s="102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hg+I+pIKTXHUlj7rtgPYVtjSaXiWEndqL+YB0axoXvBigXCO8Z8j89BbAGQ8Ss2mr1Z569ovBpkp20dgND7w1w==" saltValue="O1QmbzCQxrcxG1+uJjWVo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8" t="s">
        <v>137</v>
      </c>
      <c r="C9" s="33">
        <v>1973331.06171054</v>
      </c>
      <c r="D9" s="33">
        <v>1211231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8" t="s">
        <v>138</v>
      </c>
      <c r="C10" s="33">
        <v>82512.914218990001</v>
      </c>
      <c r="D10" s="33">
        <v>88349</v>
      </c>
      <c r="E10" s="33">
        <f t="shared" ref="E10:E19" si="0">MAX(D10-C10,0)</f>
        <v>5836.0857810099988</v>
      </c>
      <c r="F10" s="46" t="s">
        <v>31</v>
      </c>
      <c r="G10" s="11"/>
    </row>
    <row r="11" spans="1:7" ht="39.75" customHeight="1" x14ac:dyDescent="0.25">
      <c r="A11" s="11"/>
      <c r="B11" s="98" t="s">
        <v>139</v>
      </c>
      <c r="C11" s="33">
        <v>207643.83788625</v>
      </c>
      <c r="D11" s="33">
        <v>185650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8" t="s">
        <v>140</v>
      </c>
      <c r="C12" s="33">
        <v>98769.678594609999</v>
      </c>
      <c r="D12" s="33">
        <v>93190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1"/>
      <c r="D20" s="101"/>
      <c r="E20" s="101"/>
      <c r="F20" s="102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9"/>
      <c r="C22" s="104"/>
      <c r="D22" s="104"/>
      <c r="E22" s="104"/>
      <c r="F22" s="104"/>
      <c r="G22" s="11"/>
    </row>
    <row r="23" spans="1:7" ht="15" customHeight="1" x14ac:dyDescent="0.25">
      <c r="A23" s="11"/>
      <c r="B23" s="109"/>
      <c r="C23" s="104"/>
      <c r="D23" s="104"/>
      <c r="E23" s="104"/>
      <c r="F23" s="104"/>
      <c r="G23" s="11"/>
    </row>
  </sheetData>
  <sheetProtection algorithmName="SHA-512" hashValue="fJm+iXUbQanioxG084HWkq2N7I0Bc+q1240FSkMwaCjowPt0Mf3lEzQlC9GSZtUWjuO9bU+4bmXjmcM5vZccDA==" saltValue="D/8kOyG6J3olGgQJgRbdA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150</v>
      </c>
      <c r="C10" s="33">
        <v>0</v>
      </c>
      <c r="D10" s="46" t="s">
        <v>31</v>
      </c>
      <c r="E10" s="33">
        <v>52760.31</v>
      </c>
      <c r="F10" s="46" t="s">
        <v>31</v>
      </c>
      <c r="G10" s="11"/>
    </row>
    <row r="11" spans="1:7" ht="15" customHeight="1" x14ac:dyDescent="0.25">
      <c r="A11" s="11"/>
      <c r="B11" s="113" t="s">
        <v>151</v>
      </c>
      <c r="C11" s="33">
        <v>413696</v>
      </c>
      <c r="D11" s="46" t="s">
        <v>31</v>
      </c>
      <c r="E11" s="33">
        <v>144406</v>
      </c>
      <c r="F11" s="46" t="s">
        <v>31</v>
      </c>
      <c r="G11" s="11"/>
    </row>
    <row r="12" spans="1:7" ht="15" customHeight="1" x14ac:dyDescent="0.25">
      <c r="A12" s="11"/>
      <c r="B12" s="113" t="s">
        <v>152</v>
      </c>
      <c r="C12" s="33">
        <v>77993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3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3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3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3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3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1">
        <f>SUM(C10:C17)</f>
        <v>491689</v>
      </c>
      <c r="D18" s="102" t="s">
        <v>31</v>
      </c>
      <c r="E18" s="101">
        <f>SUM(E10:E17)</f>
        <v>197166.31</v>
      </c>
      <c r="F18" s="102" t="s">
        <v>31</v>
      </c>
      <c r="G18" s="11"/>
    </row>
    <row r="19" spans="1:7" ht="15" customHeight="1" x14ac:dyDescent="0.25">
      <c r="A19" s="11"/>
      <c r="B19" s="113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3" t="s">
        <v>36</v>
      </c>
      <c r="C20" s="33">
        <f>-C18*'8. Nøgletal'!C19</f>
        <v>-9833.7800000000007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3" t="s">
        <v>37</v>
      </c>
      <c r="C21" s="33">
        <f>SUM(C18:C20)*'8. Nøgletal'!C9</f>
        <v>13925.615857999999</v>
      </c>
      <c r="D21" s="46" t="s">
        <v>31</v>
      </c>
      <c r="E21" s="33">
        <f>SUM(E18:E20)*'8. Nøgletal'!C9</f>
        <v>5698.1063589999994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101">
        <f>SUM(C18:C21)</f>
        <v>495780.83585799998</v>
      </c>
      <c r="D22" s="102" t="s">
        <v>31</v>
      </c>
      <c r="E22" s="101">
        <f>SUM(E18:E21)</f>
        <v>202864.416359</v>
      </c>
      <c r="F22" s="102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6nXGcxTiiZquJ5SD5ze/TfezXECev8HYzEfDGww2wv8fZeV2xmktgewvX+CXSzwLCf87K5B2RwvVuUncj2HSkA==" saltValue="vXDRn+VDuErd909yBLqj5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18</v>
      </c>
      <c r="C8" s="85"/>
      <c r="D8" s="85"/>
      <c r="E8" s="85"/>
      <c r="F8" s="86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153</v>
      </c>
      <c r="C10" s="33">
        <v>311973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3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3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1">
        <f>SUM(C10:C12)</f>
        <v>311973</v>
      </c>
      <c r="D13" s="102" t="s">
        <v>31</v>
      </c>
      <c r="E13" s="101">
        <f>SUM(E10:E12)</f>
        <v>0</v>
      </c>
      <c r="F13" s="102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4"/>
      <c r="C15" s="114"/>
      <c r="D15" s="114"/>
      <c r="E15" s="114"/>
      <c r="F15" s="114"/>
      <c r="G15" s="11"/>
    </row>
  </sheetData>
  <sheetProtection algorithmName="SHA-512" hashValue="uhIpAdweJv+VgggA4pa4mTIhQoqLc49JdT7UYI6UOTaz5YfntKFYSaEocCiiJbgbqsjodSFvFI/qFQtjqyeV3g==" saltValue="qRrYyg0A3N7oYC0v4sI/0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4" t="s">
        <v>108</v>
      </c>
      <c r="C8" s="85"/>
      <c r="D8" s="86"/>
      <c r="E8" s="11"/>
    </row>
    <row r="9" spans="1:5" ht="15" customHeight="1" x14ac:dyDescent="0.25">
      <c r="A9" s="11"/>
      <c r="B9" s="115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6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6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7" t="s">
        <v>110</v>
      </c>
      <c r="C12" s="101">
        <f>SUM(C9:C11)*(1+'8. Nøgletal'!C9)*(1+'8. Nøgletal'!C10)</f>
        <v>0</v>
      </c>
      <c r="D12" s="102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H8KgUOO2TPM375cRZB+c1aW0y6AHn2Mgdfi7werci/6VVdgb9WtWoOIp6Ie8rW1F+20qdEQDux6wPd6IaZEV0w==" saltValue="5ov7J199ICmXayZn8++GM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4" t="s">
        <v>57</v>
      </c>
      <c r="C8" s="85"/>
      <c r="D8" s="86"/>
      <c r="E8" s="11"/>
    </row>
    <row r="9" spans="1:5" ht="26.25" x14ac:dyDescent="0.25">
      <c r="A9" s="11"/>
      <c r="B9" s="118" t="s">
        <v>112</v>
      </c>
      <c r="C9" s="119"/>
      <c r="D9" s="118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4" t="s">
        <v>59</v>
      </c>
      <c r="C12" s="85"/>
      <c r="D12" s="86"/>
      <c r="E12" s="11"/>
    </row>
    <row r="13" spans="1:5" ht="26.25" customHeight="1" x14ac:dyDescent="0.25">
      <c r="A13" s="11"/>
      <c r="B13" s="118" t="s">
        <v>141</v>
      </c>
      <c r="C13" s="119"/>
      <c r="D13" s="118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1">
        <f>C11+C15</f>
        <v>0</v>
      </c>
      <c r="D16" s="102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2V9a11N+wsT+Qa3itqg+L/DLPddgEHYefQYMsWHAmZbDgTiKDB5pNXTmSQ1E55Fh0xlDD0TxUKJswje8YR3qA==" saltValue="FfZLZZtJx5QoqYviZ0u0r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0" t="s">
        <v>63</v>
      </c>
      <c r="C9" s="121" t="s">
        <v>65</v>
      </c>
      <c r="D9" s="122"/>
      <c r="E9" s="121" t="s">
        <v>64</v>
      </c>
      <c r="F9" s="122"/>
      <c r="G9" s="121" t="s">
        <v>66</v>
      </c>
      <c r="H9" s="122"/>
      <c r="I9" s="11"/>
    </row>
    <row r="10" spans="1:9" ht="15" customHeight="1" x14ac:dyDescent="0.25">
      <c r="A10" s="11"/>
      <c r="B10" s="115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1">
        <f>SUM(C10:C10)</f>
        <v>0</v>
      </c>
      <c r="D11" s="101" t="s">
        <v>68</v>
      </c>
      <c r="E11" s="101">
        <f>SUM(E10:E10)</f>
        <v>0</v>
      </c>
      <c r="F11" s="101" t="s">
        <v>68</v>
      </c>
      <c r="G11" s="101">
        <f>SUM(G10:G10)</f>
        <v>0</v>
      </c>
      <c r="H11" s="102" t="s">
        <v>31</v>
      </c>
      <c r="I11" s="11"/>
    </row>
    <row r="12" spans="1:9" ht="15" customHeight="1" x14ac:dyDescent="0.25">
      <c r="A12" s="11"/>
      <c r="B12" s="25" t="s">
        <v>115</v>
      </c>
      <c r="C12" s="101">
        <f>C11*(1+'8. Nøgletal'!C9)</f>
        <v>0</v>
      </c>
      <c r="D12" s="101" t="s">
        <v>68</v>
      </c>
      <c r="E12" s="101">
        <f>E11*(1+'8. Nøgletal'!C9)</f>
        <v>0</v>
      </c>
      <c r="F12" s="101" t="s">
        <v>68</v>
      </c>
      <c r="G12" s="101">
        <f>G11*(1+'8. Nøgletal'!C9)</f>
        <v>0</v>
      </c>
      <c r="H12" s="102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08TD1Ka/R/ou13OE6F5Vz3QLesUKF3bJJBSJCaJoU5caxat+PD6r9RSom3OW2WZvkR+RzG7dB1UOLdxRmuUwxA==" saltValue="WeqX4HQE+1zp0qnr3UIwQ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116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71</v>
      </c>
      <c r="C9" s="124" t="s">
        <v>53</v>
      </c>
      <c r="D9" s="125"/>
      <c r="E9" s="124" t="s">
        <v>54</v>
      </c>
      <c r="F9" s="125"/>
      <c r="G9" s="11"/>
    </row>
    <row r="10" spans="1:7" ht="15" customHeight="1" x14ac:dyDescent="0.25">
      <c r="A10" s="11"/>
      <c r="B10" s="126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1">
        <f>SUM(C10:C10)</f>
        <v>0</v>
      </c>
      <c r="D11" s="102" t="s">
        <v>31</v>
      </c>
      <c r="E11" s="101">
        <f>SUM(E10:E10)</f>
        <v>0</v>
      </c>
      <c r="F11" s="102" t="s">
        <v>31</v>
      </c>
      <c r="G11" s="11"/>
    </row>
    <row r="12" spans="1:7" ht="15" customHeight="1" x14ac:dyDescent="0.25">
      <c r="A12" s="11"/>
      <c r="B12" s="25" t="s">
        <v>117</v>
      </c>
      <c r="C12" s="101">
        <f>C11*(1+'8. Nøgletal'!C9)</f>
        <v>0</v>
      </c>
      <c r="D12" s="102" t="s">
        <v>31</v>
      </c>
      <c r="E12" s="101">
        <f>E11*(1+'8. Nøgletal'!C9)</f>
        <v>0</v>
      </c>
      <c r="F12" s="102" t="s">
        <v>31</v>
      </c>
      <c r="G12" s="9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4"/>
      <c r="C14" s="114"/>
      <c r="D14" s="114"/>
      <c r="E14" s="114"/>
      <c r="F14" s="114"/>
      <c r="G14" s="11"/>
    </row>
  </sheetData>
  <sheetProtection algorithmName="SHA-512" hashValue="BYEUA1bMv/Zz+qLhomSfAY9KZnzvtm3QS5BekqHJ0kqudCeN7SyL6derHxcOZU1j959Z7WxYdMGSuSsl9pvIHw==" saltValue="KyWSWBAVeM9+aghiUKKQ+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26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75</v>
      </c>
      <c r="C9" s="127" t="s">
        <v>53</v>
      </c>
      <c r="D9" s="112"/>
      <c r="E9" s="127" t="s">
        <v>54</v>
      </c>
      <c r="F9" s="112"/>
      <c r="G9" s="11"/>
    </row>
    <row r="10" spans="1:7" ht="26.25" customHeight="1" x14ac:dyDescent="0.25">
      <c r="A10" s="11"/>
      <c r="B10" s="128" t="s">
        <v>133</v>
      </c>
      <c r="C10" s="129"/>
      <c r="D10" s="130" t="s">
        <v>31</v>
      </c>
      <c r="E10" s="129"/>
      <c r="F10" s="130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Ed5wl4GJ/1Mqqwn/AQCwVJQyDDkvQZSUQrCEGKhqamF9Khv7b8V+vAJMxpq+ZFUrieQTtnNgJyrSgvdcIzyeOA==" saltValue="M6JrZKoIWjIT40WJVG0kX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2.8899999999999999E-2</v>
      </c>
      <c r="D9" s="22"/>
    </row>
    <row r="10" spans="1:4" ht="15" customHeight="1" x14ac:dyDescent="0.25">
      <c r="A10" s="11"/>
      <c r="B10" s="134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3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3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5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3"/>
      <c r="C21" s="11"/>
      <c r="D21" s="11"/>
    </row>
    <row r="22" spans="1:4" ht="15" customHeight="1" x14ac:dyDescent="0.25">
      <c r="A22" s="11"/>
      <c r="B22" s="84" t="s">
        <v>35</v>
      </c>
      <c r="C22" s="86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4"/>
      <c r="C25" s="86"/>
      <c r="D25" s="11"/>
    </row>
    <row r="26" spans="1:4" ht="15" customHeight="1" x14ac:dyDescent="0.25">
      <c r="A26" s="11"/>
      <c r="B26" s="83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JiHm7dQ+tOv7fu8M/TCeoVQWruMELCglOtA1q9mNJ+6x6qC4JrD/3/Ufl8xqzZEpfK7/KocMY+QefyCTf29RsQ==" saltValue="iMzcAxDFwzkFwfAusoQxS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2026-10-01T14:40:49Z</dcterms:modified>
</cp:coreProperties>
</file>