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Rudersdal AS (V156)\ØR2024\"/>
    </mc:Choice>
  </mc:AlternateContent>
  <xr:revisionPtr revIDLastSave="0" documentId="13_ncr:1_{87ED41F6-C451-4AD5-9BA0-C4259FE88DD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2" l="1"/>
  <c r="E27" i="42" l="1"/>
  <c r="C29" i="2" s="1"/>
  <c r="E31" i="42"/>
  <c r="E33" i="42"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<sst xmlns="http://schemas.openxmlformats.org/spreadsheetml/2006/main" count="553" uniqueCount="264">
  <si>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</si>
  <si>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</si>
  <si>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</si>
  <si>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</si>
  <si>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</si>
  <si>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</si>
  <si>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</si>
  <si>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</si>
  <si>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</si>
  <si>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</si>
  <si>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</si>
  <si>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</si>
  <si>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</si>
  <si>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</si>
  <si>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</si>
  <si>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</si>
  <si>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</si>
  <si>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</si>
  <si>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</si>
  <si>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</si>
  <si>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</si>
  <si>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</si>
  <si>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</si>
  <si>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</si>
  <si>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</si>
  <si>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</si>
  <si>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</si>
  <si>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</si>
  <si>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</si>
  <si>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</si>
  <si>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</si>
  <si>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</si>
  <si>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</si>
  <si>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</si>
  <si>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</si>
  <si>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</si>
  <si>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</si>
  <si>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</si>
  <si>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</si>
  <si>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</si>
  <si>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</si>
  <si>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</si>
  <si>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</si>
  <si>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</si>
  <si>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</si>
  <si>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</si>
  <si>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</si>
  <si>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</si>
  <si>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</si>
  <si>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</si>
  <si>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</si>
  <si>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</si>
  <si>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</si>
  <si>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</si>
  <si>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</si>
  <si>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</si>
  <si>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</si>
  <si>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</si>
  <si>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</si>
  <si>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</si>
  <si>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</si>
  <si>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</si>
  <si>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</si>
  <si>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</si>
  <si>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</si>
  <si>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</si>
  <si>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</si>
  <si>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</si>
  <si>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</si>
  <si>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</si>
  <si>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</si>
  <si>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</si>
  <si>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</si>
  <si>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</si>
  <si>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</si>
  <si>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</si>
  <si>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</si>
  <si>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</si>
  <si>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</si>
  <si>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</si>
  <si>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</si>
  <si>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</si>
  <si>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</si>
  <si>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</si>
  <si>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</si>
  <si>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</si>
  <si>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</si>
  <si>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</si>
  <si>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</si>
  <si>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</si>
  <si>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</si>
  <si>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</si>
  <si>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</si>
  <si>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</si>
  <si>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</si>
  <si>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</si>
  <si>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</si>
  <si>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</si>
  <si>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</si>
  <si>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</si>
  <si>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</si>
  <si>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</si>
  <si>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</si>
  <si>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</si>
  <si>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</si>
  <si>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</si>
  <si>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</si>
  <si>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</si>
  <si>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</si>
  <si>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</si>
  <si>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</si>
  <si>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</si>
  <si>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</si>
  <si>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</si>
  <si>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</si>
  <si>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</si>
  <si>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</si>
  <si>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</si>
  <si>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</si>
  <si>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</si>
  <si>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</si>
  <si>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</si>
  <si>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</si>
  <si>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</si>
  <si>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</si>
  <si>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</si>
  <si>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</si>
  <si>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</si>
  <si>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</si>
  <si>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</si>
  <si>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</si>
  <si>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</si>
  <si>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</si>
  <si>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</si>
  <si>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</si>
  <si>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</si>
  <si>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</si>
  <si>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</si>
  <si>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</si>
  <si>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</si>
  <si>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</si>
  <si>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</si>
  <si>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</si>
  <si>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</si>
  <si>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</si>
  <si>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</si>
  <si>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</si>
  <si>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</si>
  <si>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</si>
  <si>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</si>
  <si>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</si>
  <si>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</si>
  <si>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</si>
  <si>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</si>
  <si>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</si>
  <si>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</si>
  <si>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</si>
  <si>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</si>
  <si>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</si>
  <si>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</si>
  <si>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</si>
  <si>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</si>
  <si>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</si>
  <si>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</si>
  <si>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</si>
  <si>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</si>
  <si>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</si>
  <si>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</si>
  <si>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</si>
  <si>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</si>
  <si>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</si>
  <si>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</si>
  <si>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</si>
  <si>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</si>
  <si>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</si>
  <si>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</si>
  <si>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</si>
  <si>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</si>
  <si>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</si>
  <si>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</si>
  <si>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</si>
  <si>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</si>
  <si>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</si>
  <si>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</si>
  <si>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</si>
  <si>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</si>
  <si>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</si>
  <si>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</si>
  <si>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</si>
  <si>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</si>
  <si>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</si>
  <si>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</si>
  <si>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</si>
  <si>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</si>
  <si>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</si>
  <si>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</si>
  <si>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</si>
  <si>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</si>
  <si>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</si>
  <si>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</si>
  <si>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</si>
  <si>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</si>
  <si>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</si>
  <si>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</si>
  <si>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</si>
  <si>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</si>
  <si>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</si>
  <si>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</si>
  <si>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</si>
  <si>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</si>
  <si>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</si>
  <si>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</si>
  <si>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</si>
  <si>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</si>
  <si>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</si>
  <si>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</si>
  <si>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</si>
  <si>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</si>
  <si>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</si>
  <si>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</si>
  <si>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</si>
  <si>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</si>
  <si>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</si>
  <si>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</si>
  <si>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</si>
  <si>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</si>
  <si>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</si>
  <si>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</si>
  <si>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</si>
  <si>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</si>
  <si>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</si>
  <si>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</si>
  <si>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</si>
  <si>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</si>
  <si>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</si>
  <si>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</si>
  <si>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</si>
  <si>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</si>
  <si>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</si>
  <si>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</si>
  <si>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</si>
  <si>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</si>
  <si>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</si>
  <si>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Stiketablering</t>
  </si>
  <si>
    <t>Afgift for ledningsført vand</t>
  </si>
  <si>
    <t>Afgift til Forsyningssekretariatet</t>
  </si>
  <si>
    <t>Køb af ydelser og produkter fra andre vandselskaber reguleret af vandsektorloven</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</si>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</sst>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sheetData sheetId="3">
        <row r="3">
          <cell r="A3" t="str">
            <v>S016</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235</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162</v>
      </c>
      <c r="E13" s="90"/>
      <c r="F13" s="90"/>
      <c r="G13" s="91"/>
      <c r="H13" s="1"/>
      <c r="I13" s="1"/>
    </row>
    <row r="14" spans="1:9" x14ac:dyDescent="0.25">
      <c r="A14" s="1"/>
      <c r="B14" s="1"/>
      <c r="C14" s="6" t="s">
        <v>14</v>
      </c>
      <c r="D14" s="89" t="s">
        <v>197</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194</v>
      </c>
      <c r="E16" s="90"/>
      <c r="F16" s="90"/>
      <c r="G16" s="91"/>
      <c r="H16" s="1"/>
      <c r="I16" s="1"/>
    </row>
    <row r="17" spans="1:9" x14ac:dyDescent="0.25">
      <c r="A17" s="1"/>
      <c r="B17" s="1"/>
      <c r="C17" s="6" t="s">
        <v>102</v>
      </c>
      <c r="D17" s="89" t="s">
        <v>195</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BZ3FGk5HIvGnAw93HtY2hapeCWER0GUsYJXeUxKZ3A/N0kNTF1FG4pFnc6fz7c+uf9klw6LXqIocgO0DOx6IIA==" saltValue="KSfxOC0zqxIsocaJdqy8W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226</v>
      </c>
      <c r="C8" s="103"/>
      <c r="D8" s="104"/>
      <c r="E8" s="1"/>
      <c r="F8" s="1"/>
    </row>
    <row r="9" spans="1:6" ht="15" customHeight="1" x14ac:dyDescent="0.25">
      <c r="A9" s="1"/>
      <c r="B9" s="32" t="s">
        <v>28</v>
      </c>
      <c r="C9" s="11" t="s">
        <v>212</v>
      </c>
      <c r="D9" s="11"/>
      <c r="E9" s="1"/>
      <c r="F9" s="1"/>
    </row>
    <row r="10" spans="1:6" ht="15" customHeight="1" x14ac:dyDescent="0.25">
      <c r="A10" s="1"/>
      <c r="B10" s="69" t="s">
        <v>244</v>
      </c>
      <c r="C10" s="9">
        <v>9476200</v>
      </c>
      <c r="D10" s="14" t="s">
        <v>3</v>
      </c>
      <c r="E10" s="1"/>
      <c r="F10" s="1"/>
    </row>
    <row r="11" spans="1:6" x14ac:dyDescent="0.25">
      <c r="A11" s="1"/>
      <c r="B11" s="69" t="s">
        <v>245</v>
      </c>
      <c r="C11" s="9">
        <v>87850</v>
      </c>
      <c r="D11" s="14" t="s">
        <v>3</v>
      </c>
      <c r="E11" s="1"/>
      <c r="F11" s="1"/>
    </row>
    <row r="12" spans="1:6" ht="26.25" x14ac:dyDescent="0.25">
      <c r="A12" s="1"/>
      <c r="B12" s="56" t="s">
        <v>246</v>
      </c>
      <c r="C12" s="9">
        <v>435899</v>
      </c>
      <c r="D12" s="14" t="s">
        <v>3</v>
      </c>
      <c r="E12" s="1"/>
      <c r="F12" s="1"/>
    </row>
    <row r="13" spans="1:6" x14ac:dyDescent="0.25">
      <c r="A13" s="1"/>
      <c r="B13" s="69" t="s">
        <v>247</v>
      </c>
      <c r="C13" s="9">
        <v>84644</v>
      </c>
      <c r="D13" s="14" t="s">
        <v>3</v>
      </c>
      <c r="E13" s="1"/>
      <c r="F13" s="1"/>
    </row>
    <row r="14" spans="1:6" x14ac:dyDescent="0.25">
      <c r="A14" s="1"/>
      <c r="B14" s="69" t="s">
        <v>248</v>
      </c>
      <c r="C14" s="9">
        <v>19099</v>
      </c>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3" t="s">
        <v>213</v>
      </c>
      <c r="C19" s="12">
        <f>SUM(C10:C18)</f>
        <v>10103692</v>
      </c>
      <c r="D19" s="13" t="s">
        <v>3</v>
      </c>
      <c r="E19" s="1"/>
      <c r="F19" s="1"/>
    </row>
    <row r="20" spans="1:6" x14ac:dyDescent="0.25">
      <c r="A20" s="1"/>
      <c r="B20" s="53" t="s">
        <v>214</v>
      </c>
      <c r="C20" s="12">
        <f>C19*(1+'Fane 13. Nøgletal'!C16)^2</f>
        <v>11802411.99493888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2b96qYmktcBmJxODl7Nh086UK54ycuuh5/LQ1x2J7AMCcWUEkZ2ty0ZRStis5U0VHWchS7ajGzG3on7/OQQ/w==" saltValue="XS13apViBQOBXRVDwsMiQ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CF34-40CE-436E-AF15-829147D9FAB2}">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60"/>
      <c r="D6" s="61"/>
      <c r="E6" s="65"/>
      <c r="F6" s="65"/>
      <c r="G6" s="1"/>
    </row>
    <row r="7" spans="1:7" x14ac:dyDescent="0.25">
      <c r="A7" s="1"/>
      <c r="B7" s="1"/>
      <c r="C7" s="1"/>
      <c r="D7" s="1"/>
      <c r="E7" s="62"/>
      <c r="F7" s="1"/>
      <c r="G7" s="1"/>
    </row>
    <row r="8" spans="1:7" x14ac:dyDescent="0.25">
      <c r="A8" s="1"/>
      <c r="B8" s="102" t="s">
        <v>249</v>
      </c>
      <c r="C8" s="103"/>
      <c r="D8" s="103"/>
      <c r="E8" s="103"/>
      <c r="F8" s="104"/>
      <c r="G8" s="1"/>
    </row>
    <row r="9" spans="1:7" x14ac:dyDescent="0.25">
      <c r="A9" s="1"/>
      <c r="B9" s="105" t="s">
        <v>250</v>
      </c>
      <c r="C9" s="106"/>
      <c r="D9" s="107"/>
      <c r="E9" s="28">
        <v>-2459225</v>
      </c>
      <c r="F9" s="14" t="s">
        <v>3</v>
      </c>
      <c r="G9" s="1"/>
    </row>
    <row r="10" spans="1:7" x14ac:dyDescent="0.25">
      <c r="A10" s="1"/>
      <c r="B10" s="53"/>
      <c r="C10" s="54"/>
      <c r="D10" s="54"/>
      <c r="E10" s="54"/>
      <c r="F10" s="19"/>
      <c r="G10" s="1"/>
    </row>
    <row r="11" spans="1:7" ht="53.25" customHeight="1" x14ac:dyDescent="0.25">
      <c r="A11" s="1"/>
      <c r="B11" s="127" t="s">
        <v>251</v>
      </c>
      <c r="C11" s="128"/>
      <c r="D11" s="128"/>
      <c r="E11" s="128"/>
      <c r="F11" s="129"/>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252</v>
      </c>
      <c r="C14" s="106"/>
      <c r="D14" s="107"/>
      <c r="E14" s="9">
        <v>-1803709</v>
      </c>
      <c r="F14" s="14" t="s">
        <v>3</v>
      </c>
      <c r="G14" s="1"/>
    </row>
    <row r="15" spans="1:7" x14ac:dyDescent="0.25">
      <c r="A15" s="1"/>
      <c r="B15" s="105" t="s">
        <v>253</v>
      </c>
      <c r="C15" s="106"/>
      <c r="D15" s="107"/>
      <c r="E15" s="9">
        <v>-1803709</v>
      </c>
      <c r="F15" s="14" t="s">
        <v>3</v>
      </c>
      <c r="G15" s="1"/>
    </row>
    <row r="16" spans="1:7" x14ac:dyDescent="0.25">
      <c r="A16" s="1"/>
      <c r="B16" s="53"/>
      <c r="C16" s="54"/>
      <c r="D16" s="54"/>
      <c r="E16" s="54"/>
      <c r="F16" s="19"/>
      <c r="G16" s="1"/>
    </row>
    <row r="17" spans="1:7" ht="32.25" customHeight="1" x14ac:dyDescent="0.25">
      <c r="A17" s="1"/>
      <c r="B17" s="127" t="s">
        <v>254</v>
      </c>
      <c r="C17" s="128"/>
      <c r="D17" s="128"/>
      <c r="E17" s="128"/>
      <c r="F17" s="129"/>
      <c r="G17" s="1"/>
    </row>
    <row r="18" spans="1:7" x14ac:dyDescent="0.25">
      <c r="A18" s="1"/>
      <c r="B18" s="1"/>
      <c r="C18" s="1"/>
      <c r="D18" s="1"/>
      <c r="E18" s="1"/>
      <c r="F18" s="1"/>
      <c r="G18" s="1"/>
    </row>
    <row r="19" spans="1:7" x14ac:dyDescent="0.25">
      <c r="A19" s="1"/>
      <c r="B19" s="70" t="s">
        <v>255</v>
      </c>
      <c r="C19" s="71"/>
      <c r="D19" s="71"/>
      <c r="E19" s="71"/>
      <c r="F19" s="72"/>
      <c r="G19" s="1"/>
    </row>
    <row r="20" spans="1:7" x14ac:dyDescent="0.25">
      <c r="A20" s="1"/>
      <c r="B20" s="66" t="s">
        <v>256</v>
      </c>
      <c r="C20" s="67"/>
      <c r="D20" s="68"/>
      <c r="E20" s="9">
        <v>26856277</v>
      </c>
      <c r="F20" s="14" t="s">
        <v>3</v>
      </c>
      <c r="G20" s="1"/>
    </row>
    <row r="21" spans="1:7" x14ac:dyDescent="0.25">
      <c r="A21" s="1"/>
      <c r="B21" s="66" t="s">
        <v>257</v>
      </c>
      <c r="C21" s="67"/>
      <c r="D21" s="68"/>
      <c r="E21" s="9">
        <v>24980892</v>
      </c>
      <c r="F21" s="14" t="s">
        <v>3</v>
      </c>
      <c r="G21" s="1"/>
    </row>
    <row r="22" spans="1:7" x14ac:dyDescent="0.25">
      <c r="A22" s="1"/>
      <c r="B22" s="66" t="s">
        <v>29</v>
      </c>
      <c r="C22" s="67"/>
      <c r="D22" s="68"/>
      <c r="E22" s="9">
        <v>0</v>
      </c>
      <c r="F22" s="14" t="s">
        <v>3</v>
      </c>
      <c r="G22" s="1"/>
    </row>
    <row r="23" spans="1:7" x14ac:dyDescent="0.25">
      <c r="A23" s="1"/>
      <c r="B23" s="74" t="s">
        <v>258</v>
      </c>
      <c r="C23" s="75"/>
      <c r="D23" s="76"/>
      <c r="E23" s="10">
        <f>E20-(E21-E22)</f>
        <v>1875385</v>
      </c>
      <c r="F23" s="17" t="s">
        <v>3</v>
      </c>
      <c r="G23" s="1"/>
    </row>
    <row r="24" spans="1:7" x14ac:dyDescent="0.25">
      <c r="A24" s="1"/>
      <c r="B24" s="53"/>
      <c r="C24" s="54"/>
      <c r="D24" s="54"/>
      <c r="E24" s="54"/>
      <c r="F24" s="19"/>
      <c r="G24" s="1"/>
    </row>
    <row r="25" spans="1:7" x14ac:dyDescent="0.25">
      <c r="A25" s="1"/>
      <c r="B25" s="1"/>
      <c r="C25" s="1"/>
      <c r="D25" s="1"/>
      <c r="E25" s="1"/>
      <c r="F25" s="1"/>
      <c r="G25" s="1"/>
    </row>
    <row r="26" spans="1:7" x14ac:dyDescent="0.25">
      <c r="A26" s="1"/>
      <c r="B26" s="102" t="s">
        <v>259</v>
      </c>
      <c r="C26" s="103"/>
      <c r="D26" s="103"/>
      <c r="E26" s="103"/>
      <c r="F26" s="104"/>
      <c r="G26" s="1"/>
    </row>
    <row r="27" spans="1:7" x14ac:dyDescent="0.25">
      <c r="A27" s="1"/>
      <c r="B27" s="130" t="s">
        <v>260</v>
      </c>
      <c r="C27" s="131"/>
      <c r="D27" s="132"/>
      <c r="E27" s="63">
        <f>IF(AND(E15&lt;0,E23&gt;0,ABS(SUM(E14:E15))&lt;E23),ABS(E14),IF(AND(E15&lt;0,E23&gt;0,ABS(SUM(E14:E15))&gt;E23),SUM(E14,E23),0))</f>
        <v>71676</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261</v>
      </c>
      <c r="C30" s="103"/>
      <c r="D30" s="103"/>
      <c r="E30" s="103"/>
      <c r="F30" s="104"/>
      <c r="G30" s="1"/>
    </row>
    <row r="31" spans="1:7" x14ac:dyDescent="0.25">
      <c r="A31" s="1"/>
      <c r="B31" s="120" t="s">
        <v>117</v>
      </c>
      <c r="C31" s="121"/>
      <c r="D31" s="122"/>
      <c r="E31" s="64">
        <f>IF(AND(E9&gt;0,(E9+E23)&gt;0),0,IF(AND(E9&gt;0,(E9+E23)&lt;0),(E9+E23),IF(AND(E9&lt;0,E23&lt;0),E23,0)))</f>
        <v>0</v>
      </c>
      <c r="F31" s="14" t="s">
        <v>3</v>
      </c>
      <c r="G31" s="1"/>
    </row>
    <row r="32" spans="1:7" x14ac:dyDescent="0.25">
      <c r="A32" s="1"/>
      <c r="B32" s="120" t="s">
        <v>85</v>
      </c>
      <c r="C32" s="121"/>
      <c r="D32" s="122"/>
      <c r="E32" s="9">
        <v>2</v>
      </c>
      <c r="F32" s="14" t="s">
        <v>18</v>
      </c>
      <c r="G32" s="1"/>
    </row>
    <row r="33" spans="1:7" x14ac:dyDescent="0.25">
      <c r="A33" s="1"/>
      <c r="B33" s="123" t="s">
        <v>116</v>
      </c>
      <c r="C33" s="123"/>
      <c r="D33" s="123"/>
      <c r="E33" s="63">
        <f>E31/E32</f>
        <v>0</v>
      </c>
      <c r="F33" s="17" t="s">
        <v>3</v>
      </c>
      <c r="G33" s="1"/>
    </row>
    <row r="34" spans="1:7" x14ac:dyDescent="0.25">
      <c r="A34" s="1"/>
      <c r="B34" s="124"/>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3e/NckPRFsut3F2Awe1c2LzPH/nmzytbBcKeeopcpQqW6zJUDGEyRyV9qu3lcg3vYh8Qklz2olQ/EKnNdBzqqQ==" saltValue="F63REHSuzaxklPkyx0AkSQ=="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184</v>
      </c>
      <c r="C8" s="103"/>
      <c r="D8" s="103"/>
      <c r="E8" s="103"/>
      <c r="F8" s="103"/>
      <c r="G8" s="103"/>
      <c r="H8" s="104"/>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2" t="s">
        <v>193</v>
      </c>
      <c r="C18" s="103"/>
      <c r="D18" s="103"/>
      <c r="E18" s="103"/>
      <c r="F18" s="10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P4HhvcahEHtqkc3960tb+mGBmlE23vudIYfn2MtGstiqCypb2vrYkpPUs84LWIvRtdmHdjBqEYA2XPa75gYmA==" saltValue="v+T0UDPsjxgcMuE2QLTqP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7">
        <f>IFERROR(D10/C10,0)</f>
        <v>0</v>
      </c>
      <c r="G10" s="14" t="s">
        <v>3</v>
      </c>
      <c r="H10" s="9">
        <v>0</v>
      </c>
      <c r="I10" s="14" t="s">
        <v>3</v>
      </c>
      <c r="J10" s="9">
        <v>0</v>
      </c>
      <c r="K10" s="14" t="s">
        <v>3</v>
      </c>
      <c r="L10" s="1"/>
    </row>
    <row r="11" spans="1:12" x14ac:dyDescent="0.25">
      <c r="A11" s="1"/>
      <c r="B11" s="53" t="s">
        <v>215</v>
      </c>
      <c r="C11" s="54"/>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5xHzV7BEaV2Ozz0nJDvbfYlnXS9uXiRAsrcLPfa+SoZc/du/Wmum+Dj/nSuKjlkuy6AF2U+DsxCvnlKPPeTreA==" saltValue="0cMa3iO5jSKR1Fh0K2Ewx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70</v>
      </c>
      <c r="C8" s="54"/>
      <c r="D8" s="54"/>
      <c r="E8" s="54"/>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0</v>
      </c>
      <c r="D11" s="14" t="s">
        <v>3</v>
      </c>
      <c r="E11" s="9">
        <v>26086.01</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3" t="s">
        <v>151</v>
      </c>
      <c r="C17" s="12">
        <f>SUM(C10:C16)</f>
        <v>0</v>
      </c>
      <c r="D17" s="13" t="s">
        <v>3</v>
      </c>
      <c r="E17" s="12">
        <f>SUM(E10:E16)</f>
        <v>26086.01</v>
      </c>
      <c r="F17" s="13" t="s">
        <v>3</v>
      </c>
      <c r="G17" s="1"/>
    </row>
    <row r="18" spans="1:7" x14ac:dyDescent="0.25">
      <c r="A18" s="1"/>
      <c r="B18" s="53" t="s">
        <v>209</v>
      </c>
      <c r="C18" s="12">
        <f>C17*(1+'Fane 13. Nøgletal'!C16)</f>
        <v>0</v>
      </c>
      <c r="D18" s="13" t="s">
        <v>3</v>
      </c>
      <c r="E18" s="12">
        <f>E17*(1+'Fane 13. Nøgletal'!C16)</f>
        <v>28193.759607999997</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E4TNhvu8jcuTIqOurEnKQwD64T9P5SVfNYltTp9v/44FS2Hfj6wK2D+4NmLBqfQQ0HqULz08M3bx/+6WmFYzsA==" saltValue="ra01Xv3qCebPXibsd28IE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217</v>
      </c>
      <c r="C9" s="103"/>
      <c r="D9" s="103"/>
      <c r="E9" s="103"/>
      <c r="F9" s="104"/>
      <c r="G9" s="1"/>
    </row>
    <row r="10" spans="1:7" ht="26.25" x14ac:dyDescent="0.25">
      <c r="A10" s="1"/>
      <c r="B10" s="77" t="s">
        <v>15</v>
      </c>
      <c r="C10" s="77" t="s">
        <v>10</v>
      </c>
      <c r="D10" s="78"/>
      <c r="E10" s="77" t="s">
        <v>27</v>
      </c>
      <c r="F10" s="30"/>
      <c r="G10" s="1"/>
    </row>
    <row r="11" spans="1:7" x14ac:dyDescent="0.25">
      <c r="A11" s="1"/>
      <c r="B11" s="23" t="s">
        <v>243</v>
      </c>
      <c r="C11" s="21">
        <v>0</v>
      </c>
      <c r="D11" s="14" t="s">
        <v>3</v>
      </c>
      <c r="E11" s="9">
        <v>5488</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3" t="s">
        <v>218</v>
      </c>
      <c r="C14" s="12">
        <f>SUM(C11:C13)</f>
        <v>0</v>
      </c>
      <c r="D14" s="13" t="s">
        <v>3</v>
      </c>
      <c r="E14" s="12">
        <f>SUM(E11:E13)</f>
        <v>5488</v>
      </c>
      <c r="F14" s="13" t="s">
        <v>3</v>
      </c>
      <c r="G14" s="1"/>
    </row>
    <row r="15" spans="1:7" x14ac:dyDescent="0.25">
      <c r="A15" s="1"/>
      <c r="B15" s="53" t="s">
        <v>219</v>
      </c>
      <c r="C15" s="12">
        <f>C14*(1+'Fane 13. Nøgletal'!$C$16)^2</f>
        <v>0</v>
      </c>
      <c r="D15" s="13" t="s">
        <v>3</v>
      </c>
      <c r="E15" s="12">
        <f>E14*(1+'Fane 13. Nøgletal'!$C$16)^2</f>
        <v>6410.6899763199999</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XK4m6u8dLvzLTYG2RIuzTWd6HoxO2CfZ2YSfPmnbDml1LHvlwSpjiOwbsRnQcgIZcNmZx4Rhgmga6JrFOnSIg==" saltValue="hPIsdyl08EmFepAoO6TRt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5" t="s">
        <v>105</v>
      </c>
      <c r="C9" s="133" t="s">
        <v>10</v>
      </c>
      <c r="D9" s="135"/>
      <c r="E9" s="133" t="s">
        <v>27</v>
      </c>
      <c r="F9" s="135"/>
      <c r="G9" s="1"/>
    </row>
    <row r="10" spans="1:7" ht="26.25" x14ac:dyDescent="0.25">
      <c r="A10" s="1"/>
      <c r="B10" s="59"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rmwwNtNwZ9Jn2yKCiezH6AzdfE/YBgvT92KAbIUXDLmCE0apTXBlVN1xaXx+ztq4eyYco3DLCWSzWY2Lc5jAg==" saltValue="kgUClTOlsNVOqDeMNtrtN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6.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2" t="s">
        <v>237</v>
      </c>
      <c r="C10" s="103"/>
      <c r="D10" s="103"/>
      <c r="E10" s="103"/>
      <c r="F10" s="104"/>
      <c r="G10" s="1"/>
    </row>
    <row r="11" spans="1:7" ht="26.25" x14ac:dyDescent="0.25">
      <c r="A11" s="1"/>
      <c r="B11" s="55" t="s">
        <v>16</v>
      </c>
      <c r="C11" s="55" t="s">
        <v>10</v>
      </c>
      <c r="D11" s="30"/>
      <c r="E11" s="55" t="s">
        <v>27</v>
      </c>
      <c r="F11" s="30"/>
      <c r="G11" s="1"/>
    </row>
    <row r="12" spans="1:7" x14ac:dyDescent="0.25">
      <c r="A12" s="1"/>
      <c r="B12" s="59" t="s">
        <v>242</v>
      </c>
      <c r="C12" s="9">
        <v>0</v>
      </c>
      <c r="D12" s="14" t="s">
        <v>3</v>
      </c>
      <c r="E12" s="9">
        <v>0</v>
      </c>
      <c r="F12" s="14" t="s">
        <v>3</v>
      </c>
      <c r="G12" s="1"/>
    </row>
    <row r="13" spans="1:7" x14ac:dyDescent="0.25">
      <c r="A13" s="1"/>
      <c r="B13" s="53" t="s">
        <v>78</v>
      </c>
      <c r="C13" s="12">
        <f>SUM(C12:C12)</f>
        <v>0</v>
      </c>
      <c r="D13" s="13" t="s">
        <v>3</v>
      </c>
      <c r="E13" s="12">
        <f>SUM(E12:E12)</f>
        <v>0</v>
      </c>
      <c r="F13" s="13" t="s">
        <v>3</v>
      </c>
      <c r="G13" s="1"/>
    </row>
    <row r="14" spans="1:7" x14ac:dyDescent="0.25">
      <c r="A14" s="1"/>
      <c r="B14" s="53"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J0Iw1QAsUXL8ntmQzssOzWxWtYoGxUGNCM1Ec3z3Fx7UBynrsyHpXP8x/IWsyBBgi74Qd/1yp6ChofSg2u1AQ==" saltValue="J1Hm/kYji4mcaJD65CZ20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3"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3"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3"/>
      <c r="C29" s="39"/>
      <c r="D29" s="1"/>
    </row>
    <row r="30" spans="1:4" x14ac:dyDescent="0.25">
      <c r="A30" s="1"/>
      <c r="B30" s="1"/>
      <c r="C30" s="38"/>
      <c r="D30" s="1"/>
    </row>
    <row r="31" spans="1:4" x14ac:dyDescent="0.25">
      <c r="A31" s="1"/>
      <c r="B31" s="1"/>
      <c r="C31" s="38"/>
      <c r="D31" s="1"/>
    </row>
    <row r="32" spans="1:4" x14ac:dyDescent="0.25">
      <c r="A32" s="1"/>
      <c r="B32" s="53" t="s">
        <v>82</v>
      </c>
      <c r="C32" s="39"/>
      <c r="D32" s="1"/>
    </row>
    <row r="33" spans="1:4" x14ac:dyDescent="0.25">
      <c r="A33" s="1"/>
      <c r="B33" s="69" t="s">
        <v>99</v>
      </c>
      <c r="C33" s="40">
        <v>0.02</v>
      </c>
      <c r="D33" s="1"/>
    </row>
    <row r="34" spans="1:4" x14ac:dyDescent="0.25">
      <c r="A34" s="1"/>
      <c r="B34" s="53"/>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RYioKQ9cmMrJX2Ai8vgckhtIz6fYqpXySkJgYCwOkEotn4tg8glcw/PCz4YL7bFa1XwDG6Q3mtkbDJPWC2D1FA==" saltValue="cOYsG1Rob2lTam7yKtALR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3" t="s">
        <v>12</v>
      </c>
      <c r="C7" s="54"/>
      <c r="D7" s="19"/>
      <c r="E7" s="1"/>
    </row>
    <row r="8" spans="1:5" x14ac:dyDescent="0.25">
      <c r="A8" s="1"/>
      <c r="B8" s="56" t="s">
        <v>109</v>
      </c>
      <c r="C8" s="7">
        <f>'Fane 3. Omkostninger i ØR2023'!C19</f>
        <v>18201703.645300314</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28193.759607999997</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650258.70554901764</v>
      </c>
      <c r="D15" s="8" t="s">
        <v>3</v>
      </c>
      <c r="E15" s="1"/>
    </row>
    <row r="16" spans="1:5" ht="17.100000000000001" customHeight="1" x14ac:dyDescent="0.25">
      <c r="A16" s="1"/>
      <c r="B16" s="24" t="s">
        <v>9</v>
      </c>
      <c r="C16" s="9">
        <f>-SUM(C8,C9:C15)*'Fane 5. Individuelt eff. krav'!G9</f>
        <v>-377603.12220914662</v>
      </c>
      <c r="D16" s="8" t="s">
        <v>3</v>
      </c>
      <c r="E16" s="1"/>
    </row>
    <row r="17" spans="1:5" ht="17.100000000000001" customHeight="1" x14ac:dyDescent="0.25">
      <c r="A17" s="1"/>
      <c r="B17" s="24" t="s">
        <v>22</v>
      </c>
      <c r="C17" s="9">
        <f>-'Fane 4.1. Gen. krav - drift'!G49</f>
        <v>-191562.07923451014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18310990.909013674</v>
      </c>
      <c r="D19" s="11" t="s">
        <v>3</v>
      </c>
      <c r="E19" s="1"/>
    </row>
    <row r="20" spans="1:5" ht="15" customHeight="1" x14ac:dyDescent="0.25">
      <c r="A20" s="1"/>
      <c r="B20" s="53" t="s">
        <v>11</v>
      </c>
      <c r="C20" s="54"/>
      <c r="D20" s="19"/>
      <c r="E20" s="1"/>
    </row>
    <row r="21" spans="1:5" ht="15" customHeight="1" x14ac:dyDescent="0.25">
      <c r="A21" s="1"/>
      <c r="B21" s="55" t="s">
        <v>11</v>
      </c>
      <c r="C21" s="10">
        <f>'Fane 6. Ikke-påvirkelige omk.'!C20</f>
        <v>11802411.99493888</v>
      </c>
      <c r="D21" s="11" t="s">
        <v>3</v>
      </c>
      <c r="E21" s="1"/>
    </row>
    <row r="22" spans="1:5" ht="15" customHeight="1" x14ac:dyDescent="0.25">
      <c r="A22" s="1"/>
      <c r="B22" s="53" t="s">
        <v>75</v>
      </c>
      <c r="C22" s="54"/>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6410.6899763199999</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-128.21379952640001</v>
      </c>
      <c r="D26" s="8" t="s">
        <v>3</v>
      </c>
      <c r="E26" s="1"/>
    </row>
    <row r="27" spans="1:5" x14ac:dyDescent="0.25">
      <c r="A27" s="1"/>
      <c r="B27" s="74" t="s">
        <v>76</v>
      </c>
      <c r="C27" s="49">
        <f>SUM(C23:C26)</f>
        <v>6282.4761767935997</v>
      </c>
      <c r="D27" s="11" t="s">
        <v>3</v>
      </c>
      <c r="E27" s="1"/>
    </row>
    <row r="28" spans="1:5" ht="15" customHeight="1" x14ac:dyDescent="0.25">
      <c r="A28" s="1"/>
      <c r="B28" s="26" t="s">
        <v>117</v>
      </c>
      <c r="C28" s="54"/>
      <c r="D28" s="19"/>
      <c r="E28" s="1"/>
    </row>
    <row r="29" spans="1:5" x14ac:dyDescent="0.25">
      <c r="A29" s="1"/>
      <c r="B29" s="73" t="s">
        <v>118</v>
      </c>
      <c r="C29" s="10">
        <f>'Fane 7. Kontrol af ØR2022'!E27</f>
        <v>71676</v>
      </c>
      <c r="D29" s="11" t="s">
        <v>3</v>
      </c>
      <c r="E29" s="1"/>
    </row>
    <row r="30" spans="1:5" x14ac:dyDescent="0.25">
      <c r="A30" s="1"/>
      <c r="B30" s="26" t="s">
        <v>138</v>
      </c>
      <c r="C30" s="54"/>
      <c r="D30" s="19"/>
      <c r="E30" s="1"/>
    </row>
    <row r="31" spans="1:5" x14ac:dyDescent="0.25">
      <c r="A31" s="1"/>
      <c r="B31" s="73" t="s">
        <v>139</v>
      </c>
      <c r="C31" s="10">
        <f>'Fane 8. Skattesagen'!G13</f>
        <v>0</v>
      </c>
      <c r="D31" s="11" t="s">
        <v>3</v>
      </c>
      <c r="E31" s="1"/>
    </row>
    <row r="32" spans="1:5" x14ac:dyDescent="0.25">
      <c r="A32" s="1"/>
      <c r="B32" s="26" t="s">
        <v>262</v>
      </c>
      <c r="C32" s="54"/>
      <c r="D32" s="19"/>
      <c r="E32" s="1"/>
    </row>
    <row r="33" spans="1:5" x14ac:dyDescent="0.25">
      <c r="A33" s="1"/>
      <c r="B33" s="73" t="s">
        <v>263</v>
      </c>
      <c r="C33" s="10">
        <v>699278.59971026541</v>
      </c>
      <c r="D33" s="11" t="s">
        <v>3</v>
      </c>
      <c r="E33" s="1"/>
    </row>
    <row r="34" spans="1:5" x14ac:dyDescent="0.25">
      <c r="A34" s="1"/>
      <c r="B34" s="53" t="s">
        <v>126</v>
      </c>
      <c r="C34" s="33">
        <f>SUM(C19,C21,C27,C29,C31,C33)</f>
        <v>30890639.979839616</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DkhPxHrynIz1/+KFN1mkipFW2QmjP0DqM0fKqeIwkm5fEBpDF1J+ZjieQVRL0jkXPIM/2jHsvX/4tr2Opf/eA==" saltValue="Fw3ZQxH9649IjZ32Li0uM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127</v>
      </c>
      <c r="C8" s="7">
        <f>'Fane 2.1. Økonomisk ramme 2024'!C19</f>
        <v>18310990.909013674</v>
      </c>
      <c r="D8" s="8" t="s">
        <v>3</v>
      </c>
      <c r="E8" s="1"/>
    </row>
    <row r="9" spans="1:5" ht="15" customHeight="1" x14ac:dyDescent="0.25">
      <c r="A9" s="1"/>
      <c r="B9" s="29" t="s">
        <v>17</v>
      </c>
      <c r="C9" s="9">
        <f>SUM(C8:C8)*'Fane 13. Nøgletal'!C16</f>
        <v>1479528.0654483049</v>
      </c>
      <c r="D9" s="8" t="s">
        <v>3</v>
      </c>
      <c r="E9" s="1"/>
    </row>
    <row r="10" spans="1:5" ht="15" customHeight="1" x14ac:dyDescent="0.25">
      <c r="A10" s="1"/>
      <c r="B10" s="29" t="s">
        <v>9</v>
      </c>
      <c r="C10" s="9">
        <f>-SUM(C8:C9)*'Fane 5. Individuelt eff. krav'!G9</f>
        <v>-395810.3794892396</v>
      </c>
      <c r="D10" s="8" t="s">
        <v>3</v>
      </c>
      <c r="E10" s="1"/>
    </row>
    <row r="11" spans="1:5" ht="15" customHeight="1" x14ac:dyDescent="0.25">
      <c r="A11" s="1"/>
      <c r="B11" s="29" t="s">
        <v>22</v>
      </c>
      <c r="C11" s="9">
        <f>-'Fane 4.1. Gen. krav - drift'!G54</f>
        <v>-202899.48933192538</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19191809.105640814</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f>
        <v>12756046.884129941</v>
      </c>
      <c r="D15" s="11" t="s">
        <v>3</v>
      </c>
      <c r="E15" s="1"/>
    </row>
    <row r="16" spans="1:5" x14ac:dyDescent="0.25">
      <c r="A16" s="1"/>
      <c r="B16" s="26" t="s">
        <v>117</v>
      </c>
      <c r="C16" s="54"/>
      <c r="D16" s="19"/>
      <c r="E16" s="1"/>
    </row>
    <row r="17" spans="1:5" ht="15" customHeight="1" x14ac:dyDescent="0.25">
      <c r="A17" s="1"/>
      <c r="B17" s="73" t="s">
        <v>118</v>
      </c>
      <c r="C17" s="10">
        <f>'Fane 7. Kontrol af ØR2022'!E33</f>
        <v>0</v>
      </c>
      <c r="D17" s="11" t="s">
        <v>3</v>
      </c>
      <c r="E17" s="1"/>
    </row>
    <row r="18" spans="1:5" x14ac:dyDescent="0.25">
      <c r="A18" s="1"/>
      <c r="B18" s="26" t="s">
        <v>138</v>
      </c>
      <c r="C18" s="54"/>
      <c r="D18" s="19"/>
      <c r="E18" s="1"/>
    </row>
    <row r="19" spans="1:5" x14ac:dyDescent="0.25">
      <c r="A19" s="1"/>
      <c r="B19" s="73" t="s">
        <v>139</v>
      </c>
      <c r="C19" s="10">
        <f>'Fane 8. Skattesagen'!G13</f>
        <v>0</v>
      </c>
      <c r="D19" s="11" t="s">
        <v>3</v>
      </c>
      <c r="E19" s="1"/>
    </row>
    <row r="20" spans="1:5" x14ac:dyDescent="0.25">
      <c r="A20" s="1"/>
      <c r="B20" s="53" t="s">
        <v>128</v>
      </c>
      <c r="C20" s="12">
        <f>SUM(C13,C15,C17,C19)</f>
        <v>31947855.989770755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lwCevLKSd8JS+lHkpW422VvyLZNXpI1pym6wKwpeA0/pJOIiLN81+2EUY4SL316kS4AvM4Dhj6IVr6Ws8bo6g==" saltValue="A0SMZkxSsE/EkmXm515GC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142</v>
      </c>
      <c r="C8" s="7">
        <f>'Fane 2.2. Økonomisk ramme 2025'!C13</f>
        <v>19191809.105640814</v>
      </c>
      <c r="D8" s="8" t="s">
        <v>3</v>
      </c>
      <c r="E8" s="1"/>
    </row>
    <row r="9" spans="1:5" ht="15" customHeight="1" x14ac:dyDescent="0.25">
      <c r="A9" s="1"/>
      <c r="B9" s="29" t="s">
        <v>17</v>
      </c>
      <c r="C9" s="9">
        <f>SUM(C8:C8)*'Fane 13. Nøgletal'!C16</f>
        <v>1550698.1757357777</v>
      </c>
      <c r="D9" s="8" t="s">
        <v>3</v>
      </c>
      <c r="E9" s="1"/>
    </row>
    <row r="10" spans="1:5" ht="15" customHeight="1" x14ac:dyDescent="0.25">
      <c r="A10" s="1"/>
      <c r="B10" s="29" t="s">
        <v>9</v>
      </c>
      <c r="C10" s="9">
        <f>-SUM(C8:C9)*'Fane 5. Individuelt eff. krav'!G9</f>
        <v>-414850.14562753186</v>
      </c>
      <c r="D10" s="8" t="s">
        <v>3</v>
      </c>
      <c r="E10" s="1"/>
    </row>
    <row r="11" spans="1:5" ht="15" customHeight="1" x14ac:dyDescent="0.25">
      <c r="A11" s="1"/>
      <c r="B11" s="29" t="s">
        <v>22</v>
      </c>
      <c r="C11" s="9">
        <f>-'Fane 4.1. Gen. krav - drift'!G59</f>
        <v>-214907.89270854605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20112749.243040513</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Nøgletal'!C16)^2</f>
        <v>13786735.472367641</v>
      </c>
      <c r="D15" s="11" t="s">
        <v>3</v>
      </c>
      <c r="E15" s="1"/>
    </row>
    <row r="16" spans="1:5" x14ac:dyDescent="0.25">
      <c r="A16" s="1"/>
      <c r="B16" s="53" t="s">
        <v>117</v>
      </c>
      <c r="C16" s="54"/>
      <c r="D16" s="19"/>
      <c r="E16" s="1"/>
    </row>
    <row r="17" spans="1:5" x14ac:dyDescent="0.25">
      <c r="A17" s="1"/>
      <c r="B17" s="55" t="s">
        <v>118</v>
      </c>
      <c r="C17" s="10">
        <f>'Fane 7. Kontrol af ØR2022'!E33</f>
        <v>0</v>
      </c>
      <c r="D17" s="11" t="s">
        <v>3</v>
      </c>
      <c r="E17" s="1"/>
    </row>
    <row r="18" spans="1:5" ht="15" customHeight="1" x14ac:dyDescent="0.25">
      <c r="A18" s="1"/>
      <c r="B18" s="26" t="s">
        <v>138</v>
      </c>
      <c r="C18" s="54"/>
      <c r="D18" s="19"/>
      <c r="E18" s="1"/>
    </row>
    <row r="19" spans="1:5" ht="15" customHeight="1" x14ac:dyDescent="0.25">
      <c r="A19" s="1"/>
      <c r="B19" s="73" t="s">
        <v>139</v>
      </c>
      <c r="C19" s="10">
        <f>'Fane 8. Skattesagen'!G14</f>
        <v>0</v>
      </c>
      <c r="D19" s="11" t="s">
        <v>3</v>
      </c>
      <c r="E19" s="1"/>
    </row>
    <row r="20" spans="1:5" x14ac:dyDescent="0.25">
      <c r="A20" s="1"/>
      <c r="B20" s="53" t="s">
        <v>143</v>
      </c>
      <c r="C20" s="12">
        <f>SUM(C13,C15,C17,C19)</f>
        <v>33899484.715408154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2KAdywZrsIxG8apwMIfO3gunAdA9CYbkYCYLw4czOjh+h1pJgvKkmUHFQVUah+xsx5G4WqV3dJKwt8LmKxldqw==" saltValue="faYdD6oe06AG1bZLDNwO1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203</v>
      </c>
      <c r="C8" s="7">
        <f>'Fane 2.3. Økonomisk ramme 2026'!C13</f>
        <v>20112749.243040513</v>
      </c>
      <c r="D8" s="8" t="s">
        <v>3</v>
      </c>
      <c r="E8" s="1"/>
    </row>
    <row r="9" spans="1:5" ht="15" customHeight="1" x14ac:dyDescent="0.25">
      <c r="A9" s="1"/>
      <c r="B9" s="29" t="s">
        <v>17</v>
      </c>
      <c r="C9" s="9">
        <f>SUM(C8:C8)*'Fane 13. Nøgletal'!C16</f>
        <v>1625110.1388376735</v>
      </c>
      <c r="D9" s="8" t="s">
        <v>3</v>
      </c>
      <c r="E9" s="1"/>
    </row>
    <row r="10" spans="1:5" ht="15" customHeight="1" x14ac:dyDescent="0.25">
      <c r="A10" s="1"/>
      <c r="B10" s="29" t="s">
        <v>9</v>
      </c>
      <c r="C10" s="9">
        <f>-SUM(C8:C9)*'Fane 5. Individuelt eff. krav'!G9</f>
        <v>-434757.18763756374</v>
      </c>
      <c r="D10" s="8" t="s">
        <v>3</v>
      </c>
      <c r="E10" s="1"/>
    </row>
    <row r="11" spans="1:5" ht="15" customHeight="1" x14ac:dyDescent="0.25">
      <c r="A11" s="1"/>
      <c r="B11" s="29" t="s">
        <v>22</v>
      </c>
      <c r="C11" s="9">
        <f>-'Fane 4.1. Gen. krav - drift'!G64</f>
        <v>-227627.00143060862</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21075475.192810014</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Nøgletal'!C16)^3</f>
        <v>14900703.698534945</v>
      </c>
      <c r="D15" s="11" t="s">
        <v>3</v>
      </c>
      <c r="E15" s="1"/>
    </row>
    <row r="16" spans="1:5" x14ac:dyDescent="0.25">
      <c r="A16" s="1"/>
      <c r="B16" s="53" t="s">
        <v>117</v>
      </c>
      <c r="C16" s="54"/>
      <c r="D16" s="19"/>
      <c r="E16" s="1"/>
    </row>
    <row r="17" spans="1:5" x14ac:dyDescent="0.25">
      <c r="A17" s="1"/>
      <c r="B17" s="55" t="s">
        <v>118</v>
      </c>
      <c r="C17" s="10">
        <v>0</v>
      </c>
      <c r="D17" s="11" t="s">
        <v>3</v>
      </c>
      <c r="E17" s="1"/>
    </row>
    <row r="18" spans="1:5" x14ac:dyDescent="0.25">
      <c r="A18" s="1"/>
      <c r="B18" s="26" t="s">
        <v>138</v>
      </c>
      <c r="C18" s="54"/>
      <c r="D18" s="19"/>
      <c r="E18" s="1"/>
    </row>
    <row r="19" spans="1:5" x14ac:dyDescent="0.25">
      <c r="A19" s="1"/>
      <c r="B19" s="73" t="s">
        <v>139</v>
      </c>
      <c r="C19" s="10">
        <f>'Fane 8. Skattesagen'!G15</f>
        <v>0</v>
      </c>
      <c r="D19" s="11" t="s">
        <v>3</v>
      </c>
      <c r="E19" s="1"/>
    </row>
    <row r="20" spans="1:5" x14ac:dyDescent="0.25">
      <c r="A20" s="1"/>
      <c r="B20" s="53" t="s">
        <v>205</v>
      </c>
      <c r="C20" s="12">
        <f>SUM(C13,C15,C17,C19)</f>
        <v>35976178.891344957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XKw/7NqN1R8tiXS8uzGo+NyfS/uFCghGhSbNMCf2dqnHru9pvULFX+/ZdXsqHkp4K1IbgFbKggqOZqykkj6A==" saltValue="wrb+Sy2esRqTVelToB+ia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3" t="s">
        <v>202</v>
      </c>
      <c r="C7" s="54"/>
      <c r="D7" s="19"/>
      <c r="E7" s="1"/>
    </row>
    <row r="8" spans="1:5" x14ac:dyDescent="0.25">
      <c r="A8" s="1"/>
      <c r="B8" s="56" t="s">
        <v>108</v>
      </c>
      <c r="C8" s="7">
        <v>16870895.291395392</v>
      </c>
      <c r="D8" s="8" t="s">
        <v>3</v>
      </c>
      <c r="E8" s="1"/>
    </row>
    <row r="9" spans="1:5" x14ac:dyDescent="0.25">
      <c r="A9" s="1"/>
      <c r="B9" s="24" t="s">
        <v>33</v>
      </c>
      <c r="C9" s="7">
        <v>420637.93680000002</v>
      </c>
      <c r="D9" s="8" t="s">
        <v>3</v>
      </c>
      <c r="E9" s="1"/>
    </row>
    <row r="10" spans="1:5" x14ac:dyDescent="0.25">
      <c r="A10" s="1"/>
      <c r="B10" s="24" t="s">
        <v>34</v>
      </c>
      <c r="C10" s="9">
        <v>829141.74840000004</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645096.0291667959</v>
      </c>
      <c r="D15" s="8" t="s">
        <v>3</v>
      </c>
      <c r="E15" s="1"/>
    </row>
    <row r="16" spans="1:5" x14ac:dyDescent="0.25">
      <c r="A16" s="1"/>
      <c r="B16" s="24" t="s">
        <v>9</v>
      </c>
      <c r="C16" s="9">
        <v>-375315.4201152437</v>
      </c>
      <c r="D16" s="8" t="s">
        <v>3</v>
      </c>
      <c r="E16" s="1"/>
    </row>
    <row r="17" spans="1:5" x14ac:dyDescent="0.25">
      <c r="A17" s="1"/>
      <c r="B17" s="24" t="s">
        <v>22</v>
      </c>
      <c r="C17" s="9">
        <v>-188751.9403466295</v>
      </c>
      <c r="D17" s="8" t="s">
        <v>3</v>
      </c>
      <c r="E17" s="1"/>
    </row>
    <row r="18" spans="1:5" x14ac:dyDescent="0.25">
      <c r="A18" s="1"/>
      <c r="B18" s="24" t="s">
        <v>23</v>
      </c>
      <c r="C18" s="9">
        <v>0</v>
      </c>
      <c r="D18" s="8" t="s">
        <v>3</v>
      </c>
      <c r="E18" s="1"/>
    </row>
    <row r="19" spans="1:5" x14ac:dyDescent="0.25">
      <c r="A19" s="1"/>
      <c r="B19" s="74" t="s">
        <v>19</v>
      </c>
      <c r="C19" s="10">
        <v>18201703.645300314</v>
      </c>
      <c r="D19" s="11" t="s">
        <v>3</v>
      </c>
      <c r="E19" s="1"/>
    </row>
    <row r="20" spans="1:5" x14ac:dyDescent="0.25">
      <c r="A20" s="1"/>
      <c r="B20" s="53" t="s">
        <v>11</v>
      </c>
      <c r="C20" s="54"/>
      <c r="D20" s="19"/>
      <c r="E20" s="1"/>
    </row>
    <row r="21" spans="1:5" x14ac:dyDescent="0.25">
      <c r="A21" s="1"/>
      <c r="B21" s="55" t="s">
        <v>11</v>
      </c>
      <c r="C21" s="10">
        <v>13248172.138602242</v>
      </c>
      <c r="D21" s="11" t="s">
        <v>3</v>
      </c>
      <c r="E21" s="1"/>
    </row>
    <row r="22" spans="1:5" x14ac:dyDescent="0.25">
      <c r="A22" s="1"/>
      <c r="B22" s="53" t="s">
        <v>75</v>
      </c>
      <c r="C22" s="54"/>
      <c r="D22" s="19"/>
      <c r="E22" s="1"/>
    </row>
    <row r="23" spans="1:5" x14ac:dyDescent="0.25">
      <c r="A23" s="1"/>
      <c r="B23" s="24" t="s">
        <v>71</v>
      </c>
      <c r="C23" s="9">
        <v>0</v>
      </c>
      <c r="D23" s="8" t="s">
        <v>3</v>
      </c>
      <c r="E23" s="1"/>
    </row>
    <row r="24" spans="1:5" x14ac:dyDescent="0.25">
      <c r="A24" s="1"/>
      <c r="B24" s="24" t="s">
        <v>72</v>
      </c>
      <c r="C24" s="9">
        <v>151422.73902576001</v>
      </c>
      <c r="D24" s="8" t="s">
        <v>3</v>
      </c>
      <c r="E24" s="1"/>
    </row>
    <row r="25" spans="1:5" x14ac:dyDescent="0.25">
      <c r="A25" s="1"/>
      <c r="B25" s="24" t="s">
        <v>164</v>
      </c>
      <c r="C25" s="9">
        <v>0</v>
      </c>
      <c r="D25" s="8" t="s">
        <v>3</v>
      </c>
      <c r="E25" s="1"/>
    </row>
    <row r="26" spans="1:5" x14ac:dyDescent="0.25">
      <c r="A26" s="1"/>
      <c r="B26" s="24" t="s">
        <v>165</v>
      </c>
      <c r="C26" s="9">
        <v>-3028.4547805152001</v>
      </c>
      <c r="D26" s="8" t="s">
        <v>3</v>
      </c>
      <c r="E26" s="1"/>
    </row>
    <row r="27" spans="1:5" x14ac:dyDescent="0.25">
      <c r="A27" s="1"/>
      <c r="B27" s="74" t="s">
        <v>76</v>
      </c>
      <c r="C27" s="58">
        <v>148394.28424524481</v>
      </c>
      <c r="D27" s="11" t="s">
        <v>3</v>
      </c>
      <c r="E27" s="1"/>
    </row>
    <row r="28" spans="1:5" x14ac:dyDescent="0.25">
      <c r="A28" s="1"/>
      <c r="B28" s="26" t="s">
        <v>117</v>
      </c>
      <c r="C28" s="54"/>
      <c r="D28" s="19"/>
      <c r="E28" s="1"/>
    </row>
    <row r="29" spans="1:5" x14ac:dyDescent="0.25">
      <c r="A29" s="1"/>
      <c r="B29" s="73" t="s">
        <v>118</v>
      </c>
      <c r="C29" s="10">
        <v>-1803709.3344752518</v>
      </c>
      <c r="D29" s="11" t="s">
        <v>3</v>
      </c>
      <c r="E29" s="1"/>
    </row>
    <row r="30" spans="1:5" x14ac:dyDescent="0.25">
      <c r="A30" s="1"/>
      <c r="B30" s="26" t="s">
        <v>138</v>
      </c>
      <c r="C30" s="54"/>
      <c r="D30" s="19"/>
      <c r="E30" s="1"/>
    </row>
    <row r="31" spans="1:5" x14ac:dyDescent="0.25">
      <c r="A31" s="1"/>
      <c r="B31" s="73" t="s">
        <v>139</v>
      </c>
      <c r="C31" s="10">
        <v>0</v>
      </c>
      <c r="D31" s="11" t="s">
        <v>3</v>
      </c>
      <c r="E31" s="1"/>
    </row>
    <row r="32" spans="1:5" x14ac:dyDescent="0.25">
      <c r="A32" s="1"/>
      <c r="B32" s="53" t="s">
        <v>239</v>
      </c>
      <c r="C32" s="33">
        <v>29794560.733672548</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klcv8i0R659xE8zCkMsc6CxAj0iG9Hk7PqUDIvGt//i1Uv14NEDX5Bdd0Y/hxNpmakd9cSFVN4n/vDDtIozuQ==" saltValue="ehXjUOeG5eA0wbuZX8mXN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8358225</v>
      </c>
      <c r="H5" s="14" t="s">
        <v>3</v>
      </c>
      <c r="I5" s="1"/>
    </row>
    <row r="6" spans="1:9" x14ac:dyDescent="0.25">
      <c r="A6" s="1"/>
      <c r="B6" s="105" t="s">
        <v>37</v>
      </c>
      <c r="C6" s="106"/>
      <c r="D6" s="106"/>
      <c r="E6" s="106"/>
      <c r="F6" s="107"/>
      <c r="G6" s="22">
        <f>G5*'Fane 13. Nøgletal'!C33</f>
        <v>167164.5</v>
      </c>
      <c r="H6" s="14" t="s">
        <v>3</v>
      </c>
      <c r="I6" s="1"/>
    </row>
    <row r="7" spans="1:9" x14ac:dyDescent="0.25">
      <c r="A7" s="1"/>
      <c r="B7" s="53"/>
      <c r="C7" s="54"/>
      <c r="D7" s="54"/>
      <c r="E7" s="54"/>
      <c r="F7" s="54"/>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8295086.9683499997</v>
      </c>
      <c r="H10" s="14" t="s">
        <v>3</v>
      </c>
      <c r="I10" s="1"/>
    </row>
    <row r="11" spans="1:9" x14ac:dyDescent="0.25">
      <c r="A11" s="1"/>
      <c r="B11" s="108" t="s">
        <v>228</v>
      </c>
      <c r="C11" s="109"/>
      <c r="D11" s="109"/>
      <c r="E11" s="109"/>
      <c r="F11" s="110"/>
      <c r="G11" s="47">
        <v>0</v>
      </c>
      <c r="H11" s="14" t="s">
        <v>3</v>
      </c>
      <c r="I11" s="1"/>
    </row>
    <row r="12" spans="1:9" x14ac:dyDescent="0.25">
      <c r="A12" s="1"/>
      <c r="B12" s="105" t="s">
        <v>39</v>
      </c>
      <c r="C12" s="106"/>
      <c r="D12" s="106"/>
      <c r="E12" s="106"/>
      <c r="F12" s="107"/>
      <c r="G12" s="22">
        <f>(G10+G11)*'Fane 13. Nøgletal'!C33</f>
        <v>165901.739367</v>
      </c>
      <c r="H12" s="14" t="s">
        <v>3</v>
      </c>
      <c r="I12" s="1"/>
    </row>
    <row r="13" spans="1:9" x14ac:dyDescent="0.25">
      <c r="A13" s="1"/>
      <c r="B13" s="53"/>
      <c r="C13" s="54"/>
      <c r="D13" s="54"/>
      <c r="E13" s="54"/>
      <c r="F13" s="54"/>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8266568.4593528118</v>
      </c>
      <c r="H16" s="14" t="s">
        <v>3</v>
      </c>
      <c r="I16" s="1"/>
    </row>
    <row r="17" spans="1:9" x14ac:dyDescent="0.25">
      <c r="A17" s="1"/>
      <c r="B17" s="105" t="s">
        <v>100</v>
      </c>
      <c r="C17" s="106"/>
      <c r="D17" s="106"/>
      <c r="E17" s="106"/>
      <c r="F17" s="107"/>
      <c r="G17" s="47">
        <v>-9.2825559778472511E-2</v>
      </c>
      <c r="H17" s="14" t="s">
        <v>3</v>
      </c>
      <c r="I17" s="1"/>
    </row>
    <row r="18" spans="1:9" x14ac:dyDescent="0.25">
      <c r="A18" s="1"/>
      <c r="B18" s="108" t="s">
        <v>229</v>
      </c>
      <c r="C18" s="109"/>
      <c r="D18" s="109"/>
      <c r="E18" s="109"/>
      <c r="F18" s="110"/>
      <c r="G18" s="47">
        <v>0</v>
      </c>
      <c r="H18" s="14" t="s">
        <v>3</v>
      </c>
      <c r="I18" s="1"/>
    </row>
    <row r="19" spans="1:9" x14ac:dyDescent="0.25">
      <c r="A19" s="1"/>
      <c r="B19" s="105" t="s">
        <v>41</v>
      </c>
      <c r="C19" s="106"/>
      <c r="D19" s="106"/>
      <c r="E19" s="106"/>
      <c r="F19" s="107"/>
      <c r="G19" s="22">
        <f>SUM(G16:G18)*'Fane 13. Nøgletal'!C33</f>
        <v>165331.36733054504</v>
      </c>
      <c r="H19" s="14" t="s">
        <v>3</v>
      </c>
      <c r="I19" s="1"/>
    </row>
    <row r="20" spans="1:9" x14ac:dyDescent="0.25">
      <c r="A20" s="1"/>
      <c r="B20" s="53"/>
      <c r="C20" s="54"/>
      <c r="D20" s="54"/>
      <c r="E20" s="54"/>
      <c r="F20" s="54"/>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8238147.9044831311</v>
      </c>
      <c r="H23" s="14" t="s">
        <v>3</v>
      </c>
      <c r="I23" s="1"/>
    </row>
    <row r="24" spans="1:9" x14ac:dyDescent="0.25">
      <c r="A24" s="1"/>
      <c r="B24" s="108" t="s">
        <v>230</v>
      </c>
      <c r="C24" s="109"/>
      <c r="D24" s="109"/>
      <c r="E24" s="109"/>
      <c r="F24" s="110"/>
      <c r="G24" s="47">
        <v>132617.69236287003</v>
      </c>
      <c r="H24" s="14" t="s">
        <v>3</v>
      </c>
      <c r="I24" s="1"/>
    </row>
    <row r="25" spans="1:9" x14ac:dyDescent="0.25">
      <c r="A25" s="1"/>
      <c r="B25" s="105" t="s">
        <v>43</v>
      </c>
      <c r="C25" s="106"/>
      <c r="D25" s="106"/>
      <c r="E25" s="106"/>
      <c r="F25" s="107"/>
      <c r="G25" s="22">
        <f>(G23+G24)*'Fane 13. Nøgletal'!C33</f>
        <v>167415.31193692001</v>
      </c>
      <c r="H25" s="14" t="s">
        <v>3</v>
      </c>
      <c r="I25" s="1"/>
    </row>
    <row r="26" spans="1:9" x14ac:dyDescent="0.25">
      <c r="A26" s="1"/>
      <c r="B26" s="53"/>
      <c r="C26" s="54"/>
      <c r="D26" s="54"/>
      <c r="E26" s="54"/>
      <c r="F26" s="54"/>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8303431.1583849723</v>
      </c>
      <c r="H29" s="14" t="s">
        <v>3</v>
      </c>
      <c r="I29" s="1"/>
    </row>
    <row r="30" spans="1:9" x14ac:dyDescent="0.25">
      <c r="A30" s="1"/>
      <c r="B30" s="105" t="s">
        <v>231</v>
      </c>
      <c r="C30" s="106"/>
      <c r="D30" s="106"/>
      <c r="E30" s="106"/>
      <c r="F30" s="107"/>
      <c r="G30" s="47">
        <v>50243.875113599999</v>
      </c>
      <c r="H30" s="14" t="s">
        <v>3</v>
      </c>
      <c r="I30" s="1"/>
    </row>
    <row r="31" spans="1:9" x14ac:dyDescent="0.25">
      <c r="A31" s="1"/>
      <c r="B31" s="105" t="s">
        <v>115</v>
      </c>
      <c r="C31" s="106"/>
      <c r="D31" s="106"/>
      <c r="E31" s="106"/>
      <c r="F31" s="107"/>
      <c r="G31" s="22">
        <f>(G29+G30)*'Fane 13. Nøgletal'!C33</f>
        <v>167073.50066997146</v>
      </c>
      <c r="H31" s="14" t="s">
        <v>3</v>
      </c>
      <c r="I31" s="1"/>
    </row>
    <row r="32" spans="1:9" x14ac:dyDescent="0.25">
      <c r="A32" s="1"/>
      <c r="B32" s="53"/>
      <c r="C32" s="54"/>
      <c r="D32" s="54"/>
      <c r="E32" s="54"/>
      <c r="F32" s="54"/>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8286478.07152911</v>
      </c>
      <c r="H35" s="14" t="s">
        <v>3</v>
      </c>
      <c r="I35" s="1"/>
    </row>
    <row r="36" spans="1:9" x14ac:dyDescent="0.25">
      <c r="A36" s="1"/>
      <c r="B36" s="105" t="s">
        <v>232</v>
      </c>
      <c r="C36" s="106"/>
      <c r="D36" s="106"/>
      <c r="E36" s="106"/>
      <c r="F36" s="107"/>
      <c r="G36" s="47">
        <v>583450.79745091009</v>
      </c>
      <c r="H36" s="14" t="s">
        <v>3</v>
      </c>
      <c r="I36" s="1"/>
    </row>
    <row r="37" spans="1:9" x14ac:dyDescent="0.25">
      <c r="A37" s="1"/>
      <c r="B37" s="105" t="s">
        <v>123</v>
      </c>
      <c r="C37" s="106"/>
      <c r="D37" s="106"/>
      <c r="E37" s="106"/>
      <c r="F37" s="107"/>
      <c r="G37" s="22">
        <f>(G35+G36)*'Fane 13. Nøgletal'!C33</f>
        <v>177398.57737960041</v>
      </c>
      <c r="H37" s="14" t="s">
        <v>3</v>
      </c>
      <c r="I37" s="1"/>
    </row>
    <row r="38" spans="1:9" x14ac:dyDescent="0.25">
      <c r="A38" s="1"/>
      <c r="B38" s="53"/>
      <c r="C38" s="54"/>
      <c r="D38" s="54"/>
      <c r="E38" s="54"/>
      <c r="F38" s="54"/>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9001984.3699813951</v>
      </c>
      <c r="H41" s="14" t="s">
        <v>3</v>
      </c>
      <c r="I41" s="1"/>
    </row>
    <row r="42" spans="1:9" x14ac:dyDescent="0.25">
      <c r="A42" s="1"/>
      <c r="B42" s="105" t="s">
        <v>156</v>
      </c>
      <c r="C42" s="106"/>
      <c r="D42" s="106"/>
      <c r="E42" s="106"/>
      <c r="F42" s="107"/>
      <c r="G42" s="22">
        <v>435612.64735008008</v>
      </c>
      <c r="H42" s="14" t="s">
        <v>3</v>
      </c>
      <c r="I42" s="1"/>
    </row>
    <row r="43" spans="1:9" x14ac:dyDescent="0.25">
      <c r="A43" s="1"/>
      <c r="B43" s="105" t="s">
        <v>166</v>
      </c>
      <c r="C43" s="106"/>
      <c r="D43" s="106"/>
      <c r="E43" s="106"/>
      <c r="F43" s="107"/>
      <c r="G43" s="22">
        <f>(G41+G42)*'Fane 13. Nøgletal'!C33</f>
        <v>188751.9403466295</v>
      </c>
      <c r="H43" s="14" t="s">
        <v>3</v>
      </c>
      <c r="I43" s="1"/>
    </row>
    <row r="44" spans="1:9" x14ac:dyDescent="0.25">
      <c r="A44" s="1"/>
      <c r="B44" s="53"/>
      <c r="C44" s="54"/>
      <c r="D44" s="54"/>
      <c r="E44" s="54"/>
      <c r="F44" s="54"/>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9578103.9617255069</v>
      </c>
      <c r="H47" s="14" t="s">
        <v>3</v>
      </c>
      <c r="I47" s="1"/>
    </row>
    <row r="48" spans="1:9" x14ac:dyDescent="0.25">
      <c r="A48" s="1"/>
      <c r="B48" s="105" t="s">
        <v>206</v>
      </c>
      <c r="C48" s="106"/>
      <c r="D48" s="106"/>
      <c r="E48" s="106"/>
      <c r="F48" s="107"/>
      <c r="G48" s="57">
        <f>('Fane 2.1. Økonomisk ramme 2024'!C9+'Fane 2.1. Økonomisk ramme 2024'!C11+'Fane 2.1. Økonomisk ramme 2024'!C13)*(1+'Fane 13. Nøgletal'!C16)</f>
        <v>0</v>
      </c>
      <c r="H48" s="14" t="s">
        <v>3</v>
      </c>
      <c r="I48" s="1"/>
    </row>
    <row r="49" spans="1:9" x14ac:dyDescent="0.25">
      <c r="A49" s="1"/>
      <c r="B49" s="105" t="s">
        <v>167</v>
      </c>
      <c r="C49" s="106"/>
      <c r="D49" s="106"/>
      <c r="E49" s="106"/>
      <c r="F49" s="107"/>
      <c r="G49" s="22">
        <f>G47*'Fane 13. Nøgletal'!C33+G48*'Fane 13. Nøgletal'!C33</f>
        <v>191562.07923451014</v>
      </c>
      <c r="H49" s="14" t="s">
        <v>3</v>
      </c>
      <c r="I49" s="1"/>
    </row>
    <row r="50" spans="1:9" x14ac:dyDescent="0.25">
      <c r="A50" s="1"/>
      <c r="B50" s="53"/>
      <c r="C50" s="54"/>
      <c r="D50" s="54"/>
      <c r="E50" s="54"/>
      <c r="F50" s="54"/>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10144974.466596268</v>
      </c>
      <c r="H53" s="14" t="s">
        <v>3</v>
      </c>
      <c r="I53" s="1"/>
    </row>
    <row r="54" spans="1:9" x14ac:dyDescent="0.25">
      <c r="A54" s="1"/>
      <c r="B54" s="105" t="s">
        <v>135</v>
      </c>
      <c r="C54" s="106"/>
      <c r="D54" s="106"/>
      <c r="E54" s="106"/>
      <c r="F54" s="107"/>
      <c r="G54" s="22">
        <f>(G53)*'Fane 13. Nøgletal'!C33</f>
        <v>202899.48933192538</v>
      </c>
      <c r="H54" s="14" t="s">
        <v>3</v>
      </c>
      <c r="I54" s="1"/>
    </row>
    <row r="55" spans="1:9" x14ac:dyDescent="0.25">
      <c r="A55" s="1"/>
      <c r="B55" s="53"/>
      <c r="C55" s="54"/>
      <c r="D55" s="54"/>
      <c r="E55" s="54"/>
      <c r="F55" s="54"/>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10745394.635427302</v>
      </c>
      <c r="H58" s="14" t="s">
        <v>3</v>
      </c>
      <c r="I58" s="1"/>
    </row>
    <row r="59" spans="1:9" x14ac:dyDescent="0.25">
      <c r="A59" s="1"/>
      <c r="B59" s="105" t="s">
        <v>146</v>
      </c>
      <c r="C59" s="106"/>
      <c r="D59" s="106"/>
      <c r="E59" s="106"/>
      <c r="F59" s="107"/>
      <c r="G59" s="22">
        <f>(G58)*'Fane 13. Nøgletal'!C33</f>
        <v>214907.89270854605</v>
      </c>
      <c r="H59" s="14" t="s">
        <v>3</v>
      </c>
      <c r="I59" s="1"/>
    </row>
    <row r="60" spans="1:9" x14ac:dyDescent="0.25">
      <c r="A60" s="1"/>
      <c r="B60" s="53"/>
      <c r="C60" s="54"/>
      <c r="D60" s="54"/>
      <c r="E60" s="54"/>
      <c r="F60" s="54"/>
      <c r="G60" s="35"/>
      <c r="H60" s="19"/>
      <c r="I60" s="1"/>
    </row>
    <row r="61" spans="1:9" x14ac:dyDescent="0.25">
      <c r="A61" s="1"/>
      <c r="B61" s="1"/>
      <c r="C61" s="1"/>
      <c r="D61" s="1"/>
      <c r="E61" s="1"/>
      <c r="F61" s="1"/>
      <c r="G61" s="36"/>
      <c r="H61" s="1"/>
      <c r="I61" s="1"/>
    </row>
    <row r="62" spans="1:9" x14ac:dyDescent="0.25">
      <c r="A62" s="1"/>
      <c r="B62" s="102" t="s">
        <v>220</v>
      </c>
      <c r="C62" s="103"/>
      <c r="D62" s="103"/>
      <c r="E62" s="103"/>
      <c r="F62" s="103"/>
      <c r="G62" s="103"/>
      <c r="H62" s="104"/>
      <c r="I62" s="1"/>
    </row>
    <row r="63" spans="1:9" x14ac:dyDescent="0.25">
      <c r="A63" s="1"/>
      <c r="B63" s="105" t="s">
        <v>221</v>
      </c>
      <c r="C63" s="106"/>
      <c r="D63" s="106"/>
      <c r="E63" s="106"/>
      <c r="F63" s="107"/>
      <c r="G63" s="22">
        <f>(G58-G59)*(1+'Fane 13. Nøgletal'!C16)</f>
        <v>11381350.071530432</v>
      </c>
      <c r="H63" s="14" t="s">
        <v>3</v>
      </c>
      <c r="I63" s="1"/>
    </row>
    <row r="64" spans="1:9" x14ac:dyDescent="0.25">
      <c r="A64" s="1"/>
      <c r="B64" s="105" t="s">
        <v>222</v>
      </c>
      <c r="C64" s="106"/>
      <c r="D64" s="106"/>
      <c r="E64" s="106"/>
      <c r="F64" s="107"/>
      <c r="G64" s="22">
        <f>(G63)*'Fane 13. Nøgletal'!C33</f>
        <v>227627.00143060862</v>
      </c>
      <c r="H64" s="14" t="s">
        <v>3</v>
      </c>
      <c r="I64" s="1"/>
    </row>
    <row r="65" spans="1:9" x14ac:dyDescent="0.25">
      <c r="A65" s="1"/>
      <c r="B65" s="53"/>
      <c r="C65" s="54"/>
      <c r="D65" s="54"/>
      <c r="E65" s="54"/>
      <c r="F65" s="54"/>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00gOtiuTaR+9j2XC/e8i7rsif37PjeunMW+QwbQ9kZ36soN+hFyUDfpD59OJlzm7mYms4OCuNdhYC5k73u2RyA==" saltValue="f5k+gaNYAFejUhUS8m6c+A=="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7053917</v>
      </c>
      <c r="H5" s="14" t="s">
        <v>3</v>
      </c>
      <c r="I5" s="1"/>
    </row>
    <row r="6" spans="1:9" x14ac:dyDescent="0.25">
      <c r="A6" s="1"/>
      <c r="B6" s="105" t="s">
        <v>49</v>
      </c>
      <c r="C6" s="106"/>
      <c r="D6" s="106"/>
      <c r="E6" s="106"/>
      <c r="F6" s="107"/>
      <c r="G6" s="22">
        <f>G5*'Fane 13. Nøgletal'!C21</f>
        <v>64190.644700000004</v>
      </c>
      <c r="H6" s="14" t="s">
        <v>3</v>
      </c>
      <c r="I6" s="1"/>
    </row>
    <row r="7" spans="1:9" x14ac:dyDescent="0.25">
      <c r="A7" s="1"/>
      <c r="B7" s="53"/>
      <c r="C7" s="54"/>
      <c r="D7" s="54"/>
      <c r="E7" s="54"/>
      <c r="F7" s="54"/>
      <c r="G7" s="54"/>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7078495.8800123092</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64414.312508112016</v>
      </c>
      <c r="H12" s="14" t="s">
        <v>3</v>
      </c>
      <c r="I12" s="1"/>
    </row>
    <row r="13" spans="1:9" x14ac:dyDescent="0.25">
      <c r="A13" s="1"/>
      <c r="B13" s="53"/>
      <c r="C13" s="54"/>
      <c r="D13" s="54"/>
      <c r="E13" s="54"/>
      <c r="F13" s="54"/>
      <c r="G13" s="54"/>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7132619.5459950175</v>
      </c>
      <c r="H16" s="14" t="s">
        <v>3</v>
      </c>
      <c r="I16" s="1"/>
    </row>
    <row r="17" spans="1:9" x14ac:dyDescent="0.25">
      <c r="A17" s="1"/>
      <c r="B17" s="105" t="s">
        <v>101</v>
      </c>
      <c r="C17" s="106"/>
      <c r="D17" s="106"/>
      <c r="E17" s="106"/>
      <c r="F17" s="107"/>
      <c r="G17" s="47">
        <v>-175982.96174009601</v>
      </c>
      <c r="H17" s="14" t="s">
        <v>3</v>
      </c>
      <c r="I17" s="1"/>
    </row>
    <row r="18" spans="1:9" x14ac:dyDescent="0.25">
      <c r="A18" s="1"/>
      <c r="B18" s="108" t="s">
        <v>58</v>
      </c>
      <c r="C18" s="109"/>
      <c r="D18" s="109"/>
      <c r="E18" s="109"/>
      <c r="F18" s="110"/>
      <c r="G18" s="47">
        <v>0</v>
      </c>
      <c r="H18" s="14" t="s">
        <v>3</v>
      </c>
      <c r="I18" s="1"/>
    </row>
    <row r="19" spans="1:9" x14ac:dyDescent="0.25">
      <c r="A19" s="1"/>
      <c r="B19" s="105" t="s">
        <v>59</v>
      </c>
      <c r="C19" s="106"/>
      <c r="D19" s="106"/>
      <c r="E19" s="106"/>
      <c r="F19" s="107"/>
      <c r="G19" s="22">
        <f>(G16+G17+G18)*'Fane 13. Nøgletal'!C23</f>
        <v>60522.73828301781</v>
      </c>
      <c r="H19" s="14" t="s">
        <v>3</v>
      </c>
      <c r="I19" s="1"/>
    </row>
    <row r="20" spans="1:9" x14ac:dyDescent="0.25">
      <c r="A20" s="1"/>
      <c r="B20" s="53"/>
      <c r="C20" s="54"/>
      <c r="D20" s="54"/>
      <c r="E20" s="54"/>
      <c r="F20" s="54"/>
      <c r="G20" s="54"/>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7012658.1699688286</v>
      </c>
      <c r="H23" s="14" t="s">
        <v>3</v>
      </c>
      <c r="I23" s="1"/>
    </row>
    <row r="24" spans="1:9" x14ac:dyDescent="0.25">
      <c r="A24" s="1"/>
      <c r="B24" s="108" t="s">
        <v>62</v>
      </c>
      <c r="C24" s="109"/>
      <c r="D24" s="109"/>
      <c r="E24" s="109"/>
      <c r="F24" s="110"/>
      <c r="G24" s="47">
        <v>1177434.3154087602</v>
      </c>
      <c r="H24" s="14" t="s">
        <v>3</v>
      </c>
      <c r="I24" s="1"/>
    </row>
    <row r="25" spans="1:9" x14ac:dyDescent="0.25">
      <c r="A25" s="1"/>
      <c r="B25" s="105" t="s">
        <v>63</v>
      </c>
      <c r="C25" s="106"/>
      <c r="D25" s="106"/>
      <c r="E25" s="106"/>
      <c r="F25" s="107"/>
      <c r="G25" s="22">
        <f>G23*'Fane 13. Nøgletal'!C23+G24*'Fane 13. Nøgletal'!C24</f>
        <v>94449.260636337596</v>
      </c>
      <c r="H25" s="14" t="s">
        <v>3</v>
      </c>
      <c r="I25" s="1"/>
    </row>
    <row r="26" spans="1:9" x14ac:dyDescent="0.25">
      <c r="A26" s="1"/>
      <c r="B26" s="53"/>
      <c r="C26" s="54"/>
      <c r="D26" s="54"/>
      <c r="E26" s="54"/>
      <c r="F26" s="54"/>
      <c r="G26" s="54"/>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8194410.0720830942</v>
      </c>
      <c r="H29" s="14" t="s">
        <v>3</v>
      </c>
      <c r="I29" s="1"/>
    </row>
    <row r="30" spans="1:9" x14ac:dyDescent="0.25">
      <c r="A30" s="1"/>
      <c r="B30" s="105" t="s">
        <v>113</v>
      </c>
      <c r="C30" s="106"/>
      <c r="D30" s="106"/>
      <c r="E30" s="106"/>
      <c r="F30" s="107"/>
      <c r="G30" s="47">
        <v>43213.420973520006</v>
      </c>
      <c r="H30" s="14" t="s">
        <v>3</v>
      </c>
      <c r="I30" s="1"/>
    </row>
    <row r="31" spans="1:9" x14ac:dyDescent="0.25">
      <c r="A31" s="1"/>
      <c r="B31" s="105" t="s">
        <v>120</v>
      </c>
      <c r="C31" s="106"/>
      <c r="D31" s="106"/>
      <c r="E31" s="106"/>
      <c r="F31" s="107"/>
      <c r="G31" s="22">
        <f>(G29+G30)*'Fane 13. Nøgletal'!C25</f>
        <v>226534.64605905689</v>
      </c>
      <c r="H31" s="14" t="s">
        <v>3</v>
      </c>
      <c r="I31" s="1"/>
    </row>
    <row r="32" spans="1:9" x14ac:dyDescent="0.25">
      <c r="A32" s="1"/>
      <c r="B32" s="53"/>
      <c r="C32" s="54"/>
      <c r="D32" s="54"/>
      <c r="E32" s="54"/>
      <c r="F32" s="54"/>
      <c r="G32" s="54"/>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8108824.1309309276</v>
      </c>
      <c r="H35" s="14" t="s">
        <v>3</v>
      </c>
      <c r="I35" s="1"/>
    </row>
    <row r="36" spans="1:9" x14ac:dyDescent="0.25">
      <c r="A36" s="1"/>
      <c r="B36" s="105" t="s">
        <v>129</v>
      </c>
      <c r="C36" s="106"/>
      <c r="D36" s="106"/>
      <c r="E36" s="106"/>
      <c r="F36" s="107"/>
      <c r="G36" s="22">
        <v>615992.5143028301</v>
      </c>
      <c r="H36" s="14" t="s">
        <v>3</v>
      </c>
      <c r="I36" s="1"/>
    </row>
    <row r="37" spans="1:9" x14ac:dyDescent="0.25">
      <c r="A37" s="1"/>
      <c r="B37" s="105" t="s">
        <v>125</v>
      </c>
      <c r="C37" s="106"/>
      <c r="D37" s="106"/>
      <c r="E37" s="106"/>
      <c r="F37" s="107"/>
      <c r="G37" s="22">
        <f>G35*'Fane 13. Nøgletal'!C25+G36*'Fane 13. Nøgletal'!C26</f>
        <v>232109.35281228239</v>
      </c>
      <c r="H37" s="14" t="s">
        <v>3</v>
      </c>
      <c r="I37" s="1"/>
    </row>
    <row r="38" spans="1:9" x14ac:dyDescent="0.25">
      <c r="A38" s="1"/>
      <c r="B38" s="53"/>
      <c r="C38" s="54"/>
      <c r="D38" s="54"/>
      <c r="E38" s="54"/>
      <c r="F38" s="54"/>
      <c r="G38" s="54"/>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8795047.6720316801</v>
      </c>
      <c r="H41" s="14" t="s">
        <v>3</v>
      </c>
      <c r="I41" s="1"/>
    </row>
    <row r="42" spans="1:9" x14ac:dyDescent="0.25">
      <c r="A42" s="1"/>
      <c r="B42" s="105" t="s">
        <v>169</v>
      </c>
      <c r="C42" s="106"/>
      <c r="D42" s="106"/>
      <c r="E42" s="106"/>
      <c r="F42" s="107"/>
      <c r="G42" s="9">
        <v>858659.19464304007</v>
      </c>
      <c r="H42" s="14" t="s">
        <v>3</v>
      </c>
      <c r="I42" s="1"/>
    </row>
    <row r="43" spans="1:9" x14ac:dyDescent="0.25">
      <c r="A43" s="1"/>
      <c r="B43" s="105" t="s">
        <v>65</v>
      </c>
      <c r="C43" s="106"/>
      <c r="D43" s="106"/>
      <c r="E43" s="106"/>
      <c r="F43" s="107"/>
      <c r="G43" s="57">
        <f>(G41+G42)*'Fane 13. Nøgletal'!C27</f>
        <v>0</v>
      </c>
      <c r="H43" s="14" t="s">
        <v>3</v>
      </c>
      <c r="I43" s="1"/>
    </row>
    <row r="44" spans="1:9" x14ac:dyDescent="0.25">
      <c r="A44" s="1"/>
      <c r="B44" s="53"/>
      <c r="C44" s="54"/>
      <c r="D44" s="54"/>
      <c r="E44" s="54"/>
      <c r="F44" s="54"/>
      <c r="G44" s="54"/>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9997378.8311283402</v>
      </c>
      <c r="H47" s="14" t="s">
        <v>3</v>
      </c>
      <c r="I47" s="1"/>
    </row>
    <row r="48" spans="1:9" x14ac:dyDescent="0.25">
      <c r="A48" s="1"/>
      <c r="B48" s="105" t="s">
        <v>210</v>
      </c>
      <c r="C48" s="106"/>
      <c r="D48" s="106"/>
      <c r="E48" s="106"/>
      <c r="F48" s="107"/>
      <c r="G48" s="22">
        <f>('Fane 2.1. Økonomisk ramme 2024'!C10+'Fane 2.1. Økonomisk ramme 2024'!C12+'Fane 2.1. Økonomisk ramme 2024'!C14)*(1+'Fane 13. Nøgletal'!C16)</f>
        <v>30471.815384326397</v>
      </c>
      <c r="H48" s="14" t="s">
        <v>3</v>
      </c>
      <c r="I48" s="1"/>
    </row>
    <row r="49" spans="1:9" x14ac:dyDescent="0.25">
      <c r="A49" s="1"/>
      <c r="B49" s="105" t="s">
        <v>211</v>
      </c>
      <c r="C49" s="106"/>
      <c r="D49" s="106"/>
      <c r="E49" s="106"/>
      <c r="F49" s="107"/>
      <c r="G49" s="57">
        <f>(G47)*'Fane 13. Nøgletal'!C27+G48*'Fane 13. Nøgletal'!C28</f>
        <v>0</v>
      </c>
      <c r="H49" s="14" t="s">
        <v>3</v>
      </c>
      <c r="I49" s="1"/>
    </row>
    <row r="50" spans="1:9" x14ac:dyDescent="0.25">
      <c r="A50" s="1"/>
      <c r="B50" s="53"/>
      <c r="C50" s="54"/>
      <c r="D50" s="54"/>
      <c r="E50" s="54"/>
      <c r="F50" s="54"/>
      <c r="G50" s="54"/>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10838100.97875089</v>
      </c>
      <c r="H53" s="14" t="s">
        <v>3</v>
      </c>
      <c r="I53" s="1"/>
    </row>
    <row r="54" spans="1:9" x14ac:dyDescent="0.25">
      <c r="A54" s="1"/>
      <c r="B54" s="105" t="s">
        <v>132</v>
      </c>
      <c r="C54" s="106"/>
      <c r="D54" s="106"/>
      <c r="E54" s="106"/>
      <c r="F54" s="107"/>
      <c r="G54" s="57">
        <f>(G53)*'Fane 13. Nøgletal'!C28</f>
        <v>0</v>
      </c>
      <c r="H54" s="14" t="s">
        <v>3</v>
      </c>
      <c r="I54" s="1"/>
    </row>
    <row r="55" spans="1:9" x14ac:dyDescent="0.25">
      <c r="A55" s="1"/>
      <c r="B55" s="53"/>
      <c r="C55" s="54"/>
      <c r="D55" s="54"/>
      <c r="E55" s="54"/>
      <c r="F55" s="54"/>
      <c r="G55" s="54"/>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11713819.537833963</v>
      </c>
      <c r="H58" s="14" t="s">
        <v>3</v>
      </c>
      <c r="I58" s="1"/>
    </row>
    <row r="59" spans="1:9" x14ac:dyDescent="0.25">
      <c r="A59" s="1"/>
      <c r="B59" s="105" t="s">
        <v>149</v>
      </c>
      <c r="C59" s="106"/>
      <c r="D59" s="106"/>
      <c r="E59" s="106"/>
      <c r="F59" s="107"/>
      <c r="G59" s="57">
        <f>(G58)*'Fane 13. Nøgletal'!C28</f>
        <v>0</v>
      </c>
      <c r="H59" s="14" t="s">
        <v>3</v>
      </c>
      <c r="I59" s="1"/>
    </row>
    <row r="60" spans="1:9" x14ac:dyDescent="0.25">
      <c r="A60" s="1"/>
      <c r="B60" s="53"/>
      <c r="C60" s="54"/>
      <c r="D60" s="54"/>
      <c r="E60" s="54"/>
      <c r="F60" s="54"/>
      <c r="G60" s="54"/>
      <c r="H60" s="19"/>
      <c r="I60" s="1"/>
    </row>
    <row r="61" spans="1:9" x14ac:dyDescent="0.25">
      <c r="A61" s="1"/>
      <c r="B61" s="1"/>
      <c r="C61" s="1"/>
      <c r="D61" s="1"/>
      <c r="E61" s="1"/>
      <c r="F61" s="1"/>
      <c r="G61" s="1"/>
      <c r="H61" s="1"/>
      <c r="I61" s="1"/>
    </row>
    <row r="62" spans="1:9" x14ac:dyDescent="0.25">
      <c r="A62" s="1"/>
      <c r="B62" s="102" t="s">
        <v>223</v>
      </c>
      <c r="C62" s="103"/>
      <c r="D62" s="103"/>
      <c r="E62" s="103"/>
      <c r="F62" s="103"/>
      <c r="G62" s="103"/>
      <c r="H62" s="104"/>
      <c r="I62" s="1"/>
    </row>
    <row r="63" spans="1:9" x14ac:dyDescent="0.25">
      <c r="A63" s="1"/>
      <c r="B63" s="105" t="s">
        <v>224</v>
      </c>
      <c r="C63" s="106"/>
      <c r="D63" s="106"/>
      <c r="E63" s="106"/>
      <c r="F63" s="107"/>
      <c r="G63" s="22">
        <f>(G58-G59)*(1+'Fane 13. Nøgletal'!C16)</f>
        <v>12660296.156490946</v>
      </c>
      <c r="H63" s="14" t="s">
        <v>3</v>
      </c>
      <c r="I63" s="1"/>
    </row>
    <row r="64" spans="1:9" x14ac:dyDescent="0.25">
      <c r="A64" s="1"/>
      <c r="B64" s="105" t="s">
        <v>225</v>
      </c>
      <c r="C64" s="106"/>
      <c r="D64" s="106"/>
      <c r="E64" s="106"/>
      <c r="F64" s="107"/>
      <c r="G64" s="57">
        <f>(G63)*'Fane 13. Nøgletal'!C28</f>
        <v>0</v>
      </c>
      <c r="H64" s="14" t="s">
        <v>3</v>
      </c>
      <c r="I64" s="1"/>
    </row>
    <row r="65" spans="1:9" x14ac:dyDescent="0.25">
      <c r="A65" s="1"/>
      <c r="B65" s="53"/>
      <c r="C65" s="54"/>
      <c r="D65" s="54"/>
      <c r="E65" s="54"/>
      <c r="F65" s="54"/>
      <c r="G65" s="54"/>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LQ6vNVbw50ilr4X0iTz0ewCZQzJ0DyA8MJ5Sxwljx0jEq5zlnAlkvdSZUvlrbqLaxMW8NAaCgLL7MCeMA15ReA==" saltValue="6l+0y7mfHvgZ6ndqbh2p/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52">
        <v>0.02</v>
      </c>
      <c r="H9" s="1"/>
    </row>
    <row r="10" spans="1:8" x14ac:dyDescent="0.25">
      <c r="A10" s="1"/>
      <c r="B10" s="53"/>
      <c r="C10" s="54"/>
      <c r="D10" s="54"/>
      <c r="E10" s="54"/>
      <c r="F10" s="54"/>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Wv+Yax/Q+yE6hI0G+5Qe5jGE09gfTE4kVHkKisYEjY/ZcO/S/fN1P2LYCD1Sv+StICbk0/XQ0iCwYyT6h+Kwbw==" saltValue="BB8xxoEQ6bysGFH0XnrWk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2023-11-22T10:23:20Z</dcterms:modified>
</cp:coreProperties>
</file>