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ORSØ SPILDEVAND AS (S068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59" i="30" l="1"/>
  <c r="E32" i="32" l="1"/>
  <c r="E16" i="40" l="1"/>
  <c r="E12" i="40"/>
  <c r="E26" i="32" l="1"/>
  <c r="E34" i="32" s="1"/>
  <c r="C26" i="15" l="1"/>
  <c r="C30" i="2"/>
  <c r="C13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61" i="30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<sst xmlns="http://schemas.openxmlformats.org/spreadsheetml/2006/main" count="702" uniqueCount="284">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</sst>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2" fontId="8" fillId="8" borderId="1" xfId="1" applyNumberFormat="1" applyFont="1" applyFill="1" applyBorder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7" t="s">
        <v>282</v>
      </c>
      <c r="E8" s="87"/>
      <c r="F8" s="87"/>
      <c r="G8" s="8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245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17</v>
      </c>
      <c r="D14" s="79" t="s">
        <v>246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37</v>
      </c>
      <c r="D15" s="79" t="s">
        <v>160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38</v>
      </c>
      <c r="D16" s="79" t="s">
        <v>247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144</v>
      </c>
      <c r="D17" s="79" t="s">
        <v>248</v>
      </c>
      <c r="E17" s="80"/>
      <c r="F17" s="80"/>
      <c r="G17" s="81"/>
      <c r="H17" s="1"/>
      <c r="I17" s="1"/>
    </row>
    <row r="18" spans="1:9" x14ac:dyDescent="0.45">
      <c r="A18" s="1"/>
      <c r="B18" s="1"/>
      <c r="C18" s="6" t="s">
        <v>124</v>
      </c>
      <c r="D18" s="76" t="s">
        <v>110</v>
      </c>
      <c r="E18" s="77"/>
      <c r="F18" s="77"/>
      <c r="G18" s="78"/>
      <c r="H18" s="1"/>
      <c r="I18" s="1"/>
    </row>
    <row r="19" spans="1:9" x14ac:dyDescent="0.45">
      <c r="A19" s="1"/>
      <c r="B19" s="1"/>
      <c r="C19" s="6" t="s">
        <v>125</v>
      </c>
      <c r="D19" s="76" t="s">
        <v>111</v>
      </c>
      <c r="E19" s="77"/>
      <c r="F19" s="77"/>
      <c r="G19" s="78"/>
      <c r="H19" s="1"/>
      <c r="I19" s="1"/>
    </row>
    <row r="20" spans="1:9" x14ac:dyDescent="0.45">
      <c r="A20" s="1"/>
      <c r="B20" s="1"/>
      <c r="C20" s="6" t="s">
        <v>7</v>
      </c>
      <c r="D20" s="76" t="s">
        <v>10</v>
      </c>
      <c r="E20" s="77"/>
      <c r="F20" s="77"/>
      <c r="G20" s="78"/>
      <c r="H20" s="1"/>
      <c r="I20" s="1"/>
    </row>
    <row r="21" spans="1:9" x14ac:dyDescent="0.45">
      <c r="A21" s="1"/>
      <c r="B21" s="1"/>
      <c r="C21" s="6" t="s">
        <v>126</v>
      </c>
      <c r="D21" s="83" t="s">
        <v>13</v>
      </c>
      <c r="E21" s="84"/>
      <c r="F21" s="84"/>
      <c r="G21" s="85"/>
      <c r="H21" s="1"/>
      <c r="I21" s="1"/>
    </row>
    <row r="22" spans="1:9" x14ac:dyDescent="0.45">
      <c r="A22" s="1"/>
      <c r="B22" s="1"/>
      <c r="C22" s="6" t="s">
        <v>91</v>
      </c>
      <c r="D22" s="70" t="s">
        <v>249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195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127</v>
      </c>
      <c r="D25" s="70" t="s">
        <v>92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128</v>
      </c>
      <c r="D26" s="70" t="s">
        <v>93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129</v>
      </c>
      <c r="D27" s="70" t="s">
        <v>94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16</v>
      </c>
      <c r="D28" s="70" t="s">
        <v>161</v>
      </c>
      <c r="E28" s="71"/>
      <c r="F28" s="71"/>
      <c r="G28" s="72"/>
      <c r="H28" s="1"/>
      <c r="I28" s="1"/>
    </row>
    <row r="29" spans="1:9" x14ac:dyDescent="0.4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45">
      <c r="A30" s="1"/>
      <c r="B30" s="1"/>
      <c r="C30" s="6" t="s">
        <v>42</v>
      </c>
      <c r="D30" s="73" t="s">
        <v>123</v>
      </c>
      <c r="E30" s="74"/>
      <c r="F30" s="74"/>
      <c r="G30" s="7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n54X32Ew0pGWbBoTVOjA6ZsctR6A72pBtkRzAy3WUZobANkko06m01ROrnjXqswWC+WbvknC+Qlk8u0P+NacA==" saltValue="BXhyKovF+6Q7TZ6tD56iY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132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0" t="s">
        <v>208</v>
      </c>
      <c r="C8" s="101"/>
      <c r="D8" s="102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4" t="s">
        <v>262</v>
      </c>
      <c r="C10" s="9">
        <v>540460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53785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54661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648906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653195.84618634009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00" t="s">
        <v>142</v>
      </c>
      <c r="C17" s="101"/>
      <c r="D17" s="102"/>
      <c r="E17" s="1"/>
      <c r="F17" s="1"/>
    </row>
    <row r="18" spans="1:6" x14ac:dyDescent="0.45">
      <c r="A18" s="1"/>
      <c r="B18" s="64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4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4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4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100"/>
      <c r="C22" s="101"/>
      <c r="D22" s="102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00" t="s">
        <v>115</v>
      </c>
      <c r="C25" s="101"/>
      <c r="D25" s="102"/>
      <c r="E25" s="1"/>
      <c r="F25" s="1"/>
    </row>
    <row r="26" spans="1:6" x14ac:dyDescent="0.45">
      <c r="A26" s="1"/>
      <c r="B26" s="64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4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100"/>
      <c r="C30" s="101"/>
      <c r="D30" s="102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yIBH9XJ7ifenWifEQMoNUEr8OPoeZOsxmb1DJSxVcKqzafy7iAac/wY9Blt6fGCEH6VC1W/VZo51Wpdq/3qtpQ==" saltValue="q8PRbBCP70QS1QXSXD7Hk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212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266</v>
      </c>
      <c r="C8" s="101"/>
      <c r="D8" s="101"/>
      <c r="E8" s="101"/>
      <c r="F8" s="102"/>
      <c r="G8" s="1"/>
    </row>
    <row r="9" spans="1:7" x14ac:dyDescent="0.45">
      <c r="A9" s="1"/>
      <c r="B9" s="105" t="s">
        <v>267</v>
      </c>
      <c r="C9" s="106"/>
      <c r="D9" s="107"/>
      <c r="E9" s="9">
        <v>26247427.970309593</v>
      </c>
      <c r="F9" s="14" t="s">
        <v>3</v>
      </c>
      <c r="G9" s="1"/>
    </row>
    <row r="10" spans="1:7" x14ac:dyDescent="0.45">
      <c r="A10" s="1"/>
      <c r="B10" s="105" t="s">
        <v>268</v>
      </c>
      <c r="C10" s="106"/>
      <c r="D10" s="107"/>
      <c r="E10" s="9">
        <v>25643364.605798312</v>
      </c>
      <c r="F10" s="14" t="s">
        <v>3</v>
      </c>
      <c r="G10" s="1"/>
    </row>
    <row r="11" spans="1:7" x14ac:dyDescent="0.45">
      <c r="A11" s="1"/>
      <c r="B11" s="105" t="s">
        <v>269</v>
      </c>
      <c r="C11" s="106"/>
      <c r="D11" s="107"/>
      <c r="E11" s="9">
        <v>25643364.605798312</v>
      </c>
      <c r="F11" s="14" t="s">
        <v>3</v>
      </c>
      <c r="G11" s="1"/>
    </row>
    <row r="12" spans="1:7" x14ac:dyDescent="0.45">
      <c r="A12" s="1"/>
      <c r="B12" s="105" t="s">
        <v>270</v>
      </c>
      <c r="C12" s="106"/>
      <c r="D12" s="107"/>
      <c r="E12" s="9">
        <v>16771965.302332826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0" t="s">
        <v>271</v>
      </c>
      <c r="C14" s="91"/>
      <c r="D14" s="91"/>
      <c r="E14" s="91"/>
      <c r="F14" s="9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272</v>
      </c>
      <c r="C16" s="101"/>
      <c r="D16" s="101"/>
      <c r="E16" s="101"/>
      <c r="F16" s="102"/>
      <c r="G16" s="1"/>
    </row>
    <row r="17" spans="1:7" x14ac:dyDescent="0.45">
      <c r="A17" s="1"/>
      <c r="B17" s="105" t="s">
        <v>273</v>
      </c>
      <c r="C17" s="106"/>
      <c r="D17" s="107"/>
      <c r="E17" s="9">
        <v>0</v>
      </c>
      <c r="F17" s="14" t="s">
        <v>3</v>
      </c>
      <c r="G17" s="1"/>
    </row>
    <row r="18" spans="1:7" x14ac:dyDescent="0.45">
      <c r="A18" s="1"/>
      <c r="B18" s="105" t="s">
        <v>274</v>
      </c>
      <c r="C18" s="106"/>
      <c r="D18" s="107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0" t="s">
        <v>275</v>
      </c>
      <c r="C20" s="91"/>
      <c r="D20" s="91"/>
      <c r="E20" s="91"/>
      <c r="F20" s="92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6" t="s">
        <v>213</v>
      </c>
      <c r="C22" s="57"/>
      <c r="D22" s="57"/>
      <c r="E22" s="57"/>
      <c r="F22" s="58"/>
      <c r="G22" s="1"/>
    </row>
    <row r="23" spans="1:7" x14ac:dyDescent="0.45">
      <c r="A23" s="1"/>
      <c r="B23" s="61" t="s">
        <v>214</v>
      </c>
      <c r="C23" s="62"/>
      <c r="D23" s="63"/>
      <c r="E23" s="9">
        <v>56896091.292316064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41245179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9" t="s">
        <v>276</v>
      </c>
      <c r="C26" s="60"/>
      <c r="D26" s="66"/>
      <c r="E26" s="48">
        <f>E23-(E24-E25)</f>
        <v>15650912.292316064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00" t="s">
        <v>186</v>
      </c>
      <c r="C30" s="101"/>
      <c r="D30" s="101"/>
      <c r="E30" s="101"/>
      <c r="F30" s="102"/>
      <c r="G30" s="1"/>
    </row>
    <row r="31" spans="1:7" x14ac:dyDescent="0.45">
      <c r="A31" s="1"/>
      <c r="B31" s="121" t="s">
        <v>280</v>
      </c>
      <c r="C31" s="122"/>
      <c r="D31" s="123"/>
      <c r="E31" s="9">
        <v>0</v>
      </c>
      <c r="F31" s="14"/>
      <c r="G31" s="1"/>
    </row>
    <row r="32" spans="1:7" x14ac:dyDescent="0.45">
      <c r="A32" s="1"/>
      <c r="B32" s="121" t="s">
        <v>187</v>
      </c>
      <c r="C32" s="122"/>
      <c r="D32" s="123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1" t="s">
        <v>120</v>
      </c>
      <c r="C33" s="122"/>
      <c r="D33" s="123"/>
      <c r="E33" s="9">
        <v>2</v>
      </c>
      <c r="F33" s="14" t="s">
        <v>21</v>
      </c>
      <c r="G33" s="1"/>
    </row>
    <row r="34" spans="1:7" x14ac:dyDescent="0.45">
      <c r="A34" s="1"/>
      <c r="B34" s="117" t="s">
        <v>188</v>
      </c>
      <c r="C34" s="117"/>
      <c r="D34" s="117"/>
      <c r="E34" s="10">
        <f>E32/E33</f>
        <v>0</v>
      </c>
      <c r="F34" s="17" t="s">
        <v>3</v>
      </c>
      <c r="G34" s="1"/>
    </row>
    <row r="35" spans="1:7" x14ac:dyDescent="0.45">
      <c r="A35" s="1"/>
      <c r="B35" s="118"/>
      <c r="C35" s="119"/>
      <c r="D35" s="119"/>
      <c r="E35" s="119"/>
      <c r="F35" s="120"/>
      <c r="G35" s="1"/>
    </row>
    <row r="36" spans="1:7" ht="75" customHeight="1" x14ac:dyDescent="0.45">
      <c r="A36" s="1"/>
      <c r="B36" s="90" t="s">
        <v>279</v>
      </c>
      <c r="C36" s="91"/>
      <c r="D36" s="91"/>
      <c r="E36" s="91"/>
      <c r="F36" s="92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bL4jLBc9HWP7G4qSPiAbSS5PcjzXM3DF5ASzl1meMPmYnjhP4HZoFp4PL/TCBo/DMc/doGaPDJDeQo0VTUO/aQ==" saltValue="VRV8LPtlZBWTWn2EMiAhdQ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3" t="s">
        <v>216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0" t="s">
        <v>217</v>
      </c>
      <c r="C9" s="101"/>
      <c r="D9" s="101"/>
      <c r="E9" s="101"/>
      <c r="F9" s="102"/>
      <c r="G9" s="1"/>
    </row>
    <row r="10" spans="1:7" x14ac:dyDescent="0.45">
      <c r="A10" s="1"/>
      <c r="B10" s="90" t="s">
        <v>118</v>
      </c>
      <c r="C10" s="91"/>
      <c r="D10" s="92"/>
      <c r="E10" s="7">
        <v>342326.8099898643</v>
      </c>
      <c r="F10" s="8" t="s">
        <v>3</v>
      </c>
      <c r="G10" s="1"/>
    </row>
    <row r="11" spans="1:7" x14ac:dyDescent="0.4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45">
      <c r="A12" s="1"/>
      <c r="B12" s="103" t="s">
        <v>119</v>
      </c>
      <c r="C12" s="104"/>
      <c r="D12" s="124"/>
      <c r="E12" s="10">
        <f>E11-E10</f>
        <v>-342326.8099898643</v>
      </c>
      <c r="F12" s="11" t="s">
        <v>3</v>
      </c>
      <c r="G12" s="1"/>
    </row>
    <row r="13" spans="1:7" x14ac:dyDescent="0.45">
      <c r="A13" s="1"/>
      <c r="B13" s="100" t="s">
        <v>109</v>
      </c>
      <c r="C13" s="101"/>
      <c r="D13" s="101"/>
      <c r="E13" s="101"/>
      <c r="F13" s="102"/>
      <c r="G13" s="1"/>
    </row>
    <row r="14" spans="1:7" x14ac:dyDescent="0.4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45">
      <c r="A15" s="1"/>
      <c r="B15" s="90" t="s">
        <v>220</v>
      </c>
      <c r="C15" s="91"/>
      <c r="D15" s="92"/>
      <c r="E15" s="9">
        <v>0</v>
      </c>
      <c r="F15" s="8" t="s">
        <v>3</v>
      </c>
      <c r="G15" s="1"/>
    </row>
    <row r="16" spans="1:7" x14ac:dyDescent="0.45">
      <c r="A16" s="1"/>
      <c r="B16" s="103" t="s">
        <v>119</v>
      </c>
      <c r="C16" s="104"/>
      <c r="D16" s="124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-342326.8099898643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Q2JVRoUaSf9Ocmb5qrUy/c4tIgrGhsLgP5/oCkhjAjC8c9GiI1ZuhsH207+BTuduBEqikl2FNWX1S7zYXmqSUg==" saltValue="aqlI3mmg1ZemNugUg1WEX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178</v>
      </c>
      <c r="C8" s="101"/>
      <c r="D8" s="101"/>
      <c r="E8" s="101"/>
      <c r="F8" s="101"/>
      <c r="G8" s="101"/>
      <c r="H8" s="102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281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0" t="s">
        <v>179</v>
      </c>
      <c r="C11" s="101"/>
      <c r="D11" s="10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WkmpRB2ljYtxyrNIBD4uzjm9HxN9nWU+dsjO8xGyxr0q1ACr2ED8cJV9RKnD7Dr20sQgOfqlgLYMS/GrZDM8g==" saltValue="prBYl1/Fsw0F0mRGkUH8Y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9GEoHEApjbqVMK1lMnNpelLEdMLG2IIIX+86hsW8eN+FDNZY/X4iS3LouhC6WoxJ30w/BHUk59Ml2tngv4NIFQ==" saltValue="FyFO3GEMC6W2lz7i0+zIq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112</v>
      </c>
      <c r="C8" s="101"/>
      <c r="D8" s="101"/>
      <c r="E8" s="101"/>
      <c r="F8" s="102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278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0" t="s">
        <v>113</v>
      </c>
      <c r="C16" s="101"/>
      <c r="D16" s="101"/>
      <c r="E16" s="101"/>
      <c r="F16" s="102"/>
      <c r="G16" s="1"/>
    </row>
    <row r="17" spans="1:7" x14ac:dyDescent="0.4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45">
      <c r="A18" s="1"/>
      <c r="B18" s="25" t="s">
        <v>278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0" t="s">
        <v>166</v>
      </c>
      <c r="C24" s="101"/>
      <c r="D24" s="101"/>
      <c r="E24" s="101"/>
      <c r="F24" s="102"/>
      <c r="G24" s="1"/>
    </row>
    <row r="25" spans="1:7" x14ac:dyDescent="0.4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45">
      <c r="A26" s="1"/>
      <c r="B26" s="25" t="s">
        <v>278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0" t="s">
        <v>224</v>
      </c>
      <c r="C32" s="101"/>
      <c r="D32" s="101"/>
      <c r="E32" s="101"/>
      <c r="F32" s="102"/>
      <c r="G32" s="1"/>
    </row>
    <row r="33" spans="1:7" x14ac:dyDescent="0.4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45">
      <c r="A34" s="1"/>
      <c r="B34" s="25" t="s">
        <v>278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pgXrlJ2tHTGxSrmXVaTM9KWVGiuDS78/S1qIb3zZ4DDtknOcJP6D+xElhsi6jZ0RwwRyW4ZFtzZ+LlUrmJadw==" saltValue="7VphGxAyc534unHAoil+h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136</v>
      </c>
      <c r="C3" s="93"/>
      <c r="D3" s="93"/>
      <c r="E3" s="93"/>
      <c r="F3" s="93"/>
      <c r="G3" s="1"/>
    </row>
    <row r="4" spans="1:7" ht="1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93"/>
      <c r="C5" s="93"/>
      <c r="D5" s="93"/>
      <c r="E5" s="93"/>
      <c r="F5" s="9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103</v>
      </c>
      <c r="C8" s="101"/>
      <c r="D8" s="101"/>
      <c r="E8" s="101"/>
      <c r="F8" s="102"/>
      <c r="G8" s="1"/>
    </row>
    <row r="9" spans="1:7" x14ac:dyDescent="0.45">
      <c r="A9" s="1"/>
      <c r="B9" s="125" t="s">
        <v>226</v>
      </c>
      <c r="C9" s="126"/>
      <c r="D9" s="127"/>
      <c r="E9" s="9">
        <v>146699.5568996387</v>
      </c>
      <c r="F9" s="14" t="s">
        <v>3</v>
      </c>
      <c r="G9" s="1"/>
    </row>
    <row r="10" spans="1:7" x14ac:dyDescent="0.45">
      <c r="A10" s="1"/>
      <c r="B10" s="94" t="s">
        <v>10</v>
      </c>
      <c r="C10" s="95"/>
      <c r="D10" s="96"/>
      <c r="E10" s="9">
        <f>-E9*'Fane 5. Individuelt eff. krav'!G12</f>
        <v>-440.71776642557904</v>
      </c>
      <c r="F10" s="14" t="s">
        <v>3</v>
      </c>
      <c r="G10" s="1"/>
    </row>
    <row r="11" spans="1:7" x14ac:dyDescent="0.45">
      <c r="A11" s="1"/>
      <c r="B11" s="94" t="s">
        <v>26</v>
      </c>
      <c r="C11" s="95"/>
      <c r="D11" s="96"/>
      <c r="E11" s="9">
        <f>-E9*'Fane 14. Nøgletal'!C29</f>
        <v>-2933.9911379927739</v>
      </c>
      <c r="F11" s="14" t="s">
        <v>3</v>
      </c>
      <c r="G11" s="1"/>
    </row>
    <row r="12" spans="1:7" x14ac:dyDescent="0.45">
      <c r="A12" s="1"/>
      <c r="B12" s="100" t="s">
        <v>105</v>
      </c>
      <c r="C12" s="101"/>
      <c r="D12" s="102"/>
      <c r="E12" s="12">
        <f>SUM(E9:E11)*(1+'Fane 14. Nøgletal'!C14)^2</f>
        <v>144272.35279958352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104</v>
      </c>
      <c r="C14" s="101"/>
      <c r="D14" s="101"/>
      <c r="E14" s="101"/>
      <c r="F14" s="102"/>
      <c r="G14" s="1"/>
    </row>
    <row r="15" spans="1:7" ht="15" customHeight="1" x14ac:dyDescent="0.45">
      <c r="A15" s="1"/>
      <c r="B15" s="125" t="s">
        <v>226</v>
      </c>
      <c r="C15" s="126"/>
      <c r="D15" s="127"/>
      <c r="E15" s="9">
        <v>110944.81068396864</v>
      </c>
      <c r="F15" s="14" t="s">
        <v>3</v>
      </c>
      <c r="G15" s="1"/>
    </row>
    <row r="16" spans="1:7" x14ac:dyDescent="0.45">
      <c r="A16" s="1"/>
      <c r="B16" s="94" t="s">
        <v>10</v>
      </c>
      <c r="C16" s="95"/>
      <c r="D16" s="96"/>
      <c r="E16" s="9">
        <f>-E15*'Fane 5. Individuelt eff. krav'!G12</f>
        <v>-333.30263699840663</v>
      </c>
      <c r="F16" s="14" t="s">
        <v>3</v>
      </c>
      <c r="G16" s="1"/>
    </row>
    <row r="17" spans="1:7" x14ac:dyDescent="0.45">
      <c r="A17" s="1"/>
      <c r="B17" s="94" t="s">
        <v>26</v>
      </c>
      <c r="C17" s="95"/>
      <c r="D17" s="96"/>
      <c r="E17" s="9">
        <f>-E15*'Fane 14. Nøgletal'!C29</f>
        <v>-2218.896213679373</v>
      </c>
      <c r="F17" s="14" t="s">
        <v>3</v>
      </c>
      <c r="G17" s="1"/>
    </row>
    <row r="18" spans="1:7" x14ac:dyDescent="0.45">
      <c r="A18" s="1"/>
      <c r="B18" s="100" t="s">
        <v>106</v>
      </c>
      <c r="C18" s="101"/>
      <c r="D18" s="102"/>
      <c r="E18" s="12">
        <f>SUM(E15:E17)*(1+'Fane 14. Nøgletal'!C14)^3</f>
        <v>109469.24377237436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155</v>
      </c>
      <c r="C20" s="101"/>
      <c r="D20" s="101"/>
      <c r="E20" s="101"/>
      <c r="F20" s="102"/>
      <c r="G20" s="1"/>
    </row>
    <row r="21" spans="1:7" ht="15" customHeight="1" x14ac:dyDescent="0.45">
      <c r="A21" s="1"/>
      <c r="B21" s="125" t="s">
        <v>226</v>
      </c>
      <c r="C21" s="126"/>
      <c r="D21" s="127"/>
      <c r="E21" s="9">
        <v>0</v>
      </c>
      <c r="F21" s="14" t="s">
        <v>3</v>
      </c>
      <c r="G21" s="1"/>
    </row>
    <row r="22" spans="1:7" x14ac:dyDescent="0.45">
      <c r="A22" s="1"/>
      <c r="B22" s="94" t="s">
        <v>10</v>
      </c>
      <c r="C22" s="95"/>
      <c r="D22" s="96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4" t="s">
        <v>26</v>
      </c>
      <c r="C23" s="95"/>
      <c r="D23" s="96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0" t="s">
        <v>156</v>
      </c>
      <c r="C24" s="101"/>
      <c r="D24" s="102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227</v>
      </c>
      <c r="C26" s="101"/>
      <c r="D26" s="101"/>
      <c r="E26" s="101"/>
      <c r="F26" s="102"/>
      <c r="G26" s="1"/>
    </row>
    <row r="27" spans="1:7" ht="15" customHeight="1" x14ac:dyDescent="0.45">
      <c r="A27" s="1"/>
      <c r="B27" s="125" t="s">
        <v>226</v>
      </c>
      <c r="C27" s="126"/>
      <c r="D27" s="127"/>
      <c r="E27" s="9">
        <v>0</v>
      </c>
      <c r="F27" s="14" t="s">
        <v>3</v>
      </c>
      <c r="G27" s="1"/>
    </row>
    <row r="28" spans="1:7" x14ac:dyDescent="0.45">
      <c r="A28" s="1"/>
      <c r="B28" s="94" t="s">
        <v>10</v>
      </c>
      <c r="C28" s="95"/>
      <c r="D28" s="96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4" t="s">
        <v>26</v>
      </c>
      <c r="C29" s="95"/>
      <c r="D29" s="96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0" t="s">
        <v>228</v>
      </c>
      <c r="C30" s="101"/>
      <c r="D30" s="102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I9RYuNIkyhwFE+Deq+XMxQWYHIHdnm8g39bPDTUtHosva+qsm9Dz59IpW9HR4nbvhxDMmGSu5NHvnVWZR6dvpA==" saltValue="YD2EmiF+A+CyHTGDcMZJn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157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158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aAn61jlfYQQDOf+VJsAoWm2gLWpREu2S62OXL9srJjLXbp0G3RIjV7pMkklNpzUlfU7gKaPpXHyGmb6QbtOdA==" saltValue="pGfz+qUeEoV70RsQiG2k6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133</v>
      </c>
      <c r="C3" s="93"/>
      <c r="D3" s="93"/>
      <c r="E3" s="93"/>
      <c r="F3" s="93"/>
      <c r="G3" s="1"/>
    </row>
    <row r="4" spans="1:7" ht="25.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0" t="s">
        <v>107</v>
      </c>
      <c r="C8" s="101"/>
      <c r="D8" s="101"/>
      <c r="E8" s="101"/>
      <c r="F8" s="102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0" t="s">
        <v>108</v>
      </c>
      <c r="C14" s="101"/>
      <c r="D14" s="101"/>
      <c r="E14" s="101"/>
      <c r="F14" s="102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0" t="s">
        <v>169</v>
      </c>
      <c r="C20" s="101"/>
      <c r="D20" s="101"/>
      <c r="E20" s="101"/>
      <c r="F20" s="102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0" t="s">
        <v>231</v>
      </c>
      <c r="C26" s="101"/>
      <c r="D26" s="101"/>
      <c r="E26" s="101"/>
      <c r="F26" s="102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ZKSfwWTRS9RfJaLiWL+7453qEFB9EzhOCcWTJPYzhSUI0jtS1Z1Z3d+sdUTHpFG782ugdXAi7RbPiOZyqIZ6g==" saltValue="+KTuzCiEiV0r9ziii2RnS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3" t="s">
        <v>189</v>
      </c>
      <c r="C3" s="93"/>
      <c r="D3" s="1"/>
    </row>
    <row r="4" spans="1:4" ht="25.5" customHeight="1" x14ac:dyDescent="0.45">
      <c r="A4" s="1"/>
      <c r="B4" s="93"/>
      <c r="C4" s="9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9RiHW0iMHL2tor/gIAQmt+vuH0EIp97uu2HWwPwQm9XJLg7ZM11tI095VlsMVq0FbIHQ1eT7tdhpjpjEWmwNeQ==" saltValue="/DpI2bktFZc9zw5PxptaW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56146708.671777152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185284.1386168646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-169233.70850181329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drift'!G40</f>
        <v>-358631.02671991749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-629887.96020655637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55174240.114965729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653195.84618634009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144272.35279958352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-342326.8099898643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55629381.503961787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77BCCABO8bklfT1/2qH9YOe7Zu9iPWukMHCD68kpGSNRXoRmNeX3j8+G9E9Hqo+HGR7L/C7SdDHbcsLnx5zmA==" saltValue="Y6YXxbtlgp6q3TDzY8Ra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196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55174240.114965729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182074.99237938691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-166302.55787582247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-352618.21892593137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-622613.48493620462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54214780.845607162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655351.39247875509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109469.24377237436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54979601.481858291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r/GH5VnFLSemCt8/9Hco2Ajb84y/Po29lQrqLeOkjf0+sxtAG6ySAiF5dpLNpA7/Ip3Ojw4MyoZq2hl02otWMQ==" saltValue="/ktr76NjzmgXRMgBEB6F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54214780.845607162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178908.77679050365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-163410.61898659586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-346706.22186741926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-615423.02141683397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53268149.760126814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657514.05207393505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53925663.812200747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NoJdaS6BqtB7eDz9n0xU/3a7AyL1krtoy5U/NWwGr7zkzHF0ysYVQjYQqP3DjWFvh+FGtBFP1ZePAG2JtDdikQ==" saltValue="TexYFtX0sSP6vSXrduVM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198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23</v>
      </c>
      <c r="C5" s="89"/>
      <c r="D5" s="89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53268149.760126814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175784.8942084185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-160557.34596367573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-340893.34535159013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-608315.59941017453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52334168.363609783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659683.84844577906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52993852.212055564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s74m2LCC+QEK5DzC5CIuBJyx0EBhJeCtQ7QSdzWCms+VSwvOHSemldp+C8RxUmk4rRwiUoLOutWL8VBcoPEarQ==" saltValue="iGztd+lhULGdpYcU2rrBp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3" t="s">
        <v>250</v>
      </c>
      <c r="C3" s="93"/>
      <c r="D3" s="93"/>
      <c r="E3" s="93"/>
      <c r="F3" s="93"/>
      <c r="G3" s="1"/>
    </row>
    <row r="4" spans="1:7" ht="29.25" customHeight="1" x14ac:dyDescent="0.45">
      <c r="A4" s="1"/>
      <c r="B4" s="93"/>
      <c r="C4" s="93"/>
      <c r="D4" s="93"/>
      <c r="E4" s="93"/>
      <c r="F4" s="9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0" t="s">
        <v>25</v>
      </c>
      <c r="C9" s="91"/>
      <c r="D9" s="92"/>
      <c r="E9" s="7">
        <v>56650315.044125207</v>
      </c>
      <c r="F9" s="8" t="s">
        <v>3</v>
      </c>
      <c r="G9" s="1"/>
    </row>
    <row r="10" spans="1:7" ht="15" customHeight="1" x14ac:dyDescent="0.45">
      <c r="A10" s="1"/>
      <c r="B10" s="94" t="s">
        <v>43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45">
      <c r="A11" s="1"/>
      <c r="B11" s="94" t="s">
        <v>44</v>
      </c>
      <c r="C11" s="95"/>
      <c r="D11" s="96"/>
      <c r="E11" s="9">
        <v>207914.98980000001</v>
      </c>
      <c r="F11" s="8" t="s">
        <v>3</v>
      </c>
      <c r="G11" s="1"/>
    </row>
    <row r="12" spans="1:7" ht="15" customHeight="1" x14ac:dyDescent="0.45">
      <c r="A12" s="1"/>
      <c r="B12" s="94" t="s">
        <v>29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45">
      <c r="A13" s="1"/>
      <c r="B13" s="90" t="s">
        <v>28</v>
      </c>
      <c r="C13" s="91"/>
      <c r="D13" s="92"/>
      <c r="E13" s="9">
        <v>0</v>
      </c>
      <c r="F13" s="8" t="s">
        <v>3</v>
      </c>
      <c r="G13" s="1"/>
    </row>
    <row r="14" spans="1:7" ht="15" customHeight="1" x14ac:dyDescent="0.45">
      <c r="A14" s="1"/>
      <c r="B14" s="90" t="s">
        <v>31</v>
      </c>
      <c r="C14" s="91"/>
      <c r="D14" s="92"/>
      <c r="E14" s="9">
        <v>0</v>
      </c>
      <c r="F14" s="8" t="s">
        <v>3</v>
      </c>
      <c r="G14" s="1"/>
    </row>
    <row r="15" spans="1:7" ht="15" customHeight="1" x14ac:dyDescent="0.45">
      <c r="A15" s="1"/>
      <c r="B15" s="90" t="s">
        <v>30</v>
      </c>
      <c r="C15" s="91"/>
      <c r="D15" s="92"/>
      <c r="E15" s="9">
        <v>0</v>
      </c>
      <c r="F15" s="8" t="s">
        <v>3</v>
      </c>
      <c r="G15" s="1"/>
    </row>
    <row r="16" spans="1:7" ht="15" customHeight="1" x14ac:dyDescent="0.45">
      <c r="A16" s="1"/>
      <c r="B16" s="90" t="s">
        <v>20</v>
      </c>
      <c r="C16" s="91"/>
      <c r="D16" s="92"/>
      <c r="E16" s="9">
        <v>1118547.7692448266</v>
      </c>
      <c r="F16" s="8" t="s">
        <v>3</v>
      </c>
      <c r="G16" s="1"/>
    </row>
    <row r="17" spans="1:7" ht="15" customHeight="1" x14ac:dyDescent="0.45">
      <c r="A17" s="1"/>
      <c r="B17" s="90" t="s">
        <v>10</v>
      </c>
      <c r="C17" s="91"/>
      <c r="D17" s="92"/>
      <c r="E17" s="9">
        <v>-225575.01724747237</v>
      </c>
      <c r="F17" s="8" t="s">
        <v>3</v>
      </c>
      <c r="G17" s="1"/>
    </row>
    <row r="18" spans="1:7" ht="15" customHeight="1" x14ac:dyDescent="0.45">
      <c r="A18" s="1"/>
      <c r="B18" s="90" t="s">
        <v>26</v>
      </c>
      <c r="C18" s="91"/>
      <c r="D18" s="92"/>
      <c r="E18" s="9">
        <f>-'Fane 4.1. Gen. krav - drift'!G34</f>
        <v>-364746.36426315352</v>
      </c>
      <c r="F18" s="8" t="s">
        <v>3</v>
      </c>
      <c r="G18" s="1"/>
    </row>
    <row r="19" spans="1:7" ht="15" customHeight="1" x14ac:dyDescent="0.45">
      <c r="A19" s="1"/>
      <c r="B19" s="90" t="s">
        <v>27</v>
      </c>
      <c r="C19" s="91"/>
      <c r="D19" s="92"/>
      <c r="E19" s="9">
        <f>-'Fane 4.2. Gen. krav - anlæg'!G31</f>
        <v>-1239747.7498822522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6"/>
      <c r="E20" s="10">
        <f>SUM(E9:E19)</f>
        <v>56146708.671777152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7" t="s">
        <v>13</v>
      </c>
      <c r="C22" s="98"/>
      <c r="D22" s="99"/>
      <c r="E22" s="10">
        <v>705456.17742852005</v>
      </c>
      <c r="F22" s="11" t="s">
        <v>3</v>
      </c>
      <c r="G22" s="1"/>
    </row>
    <row r="23" spans="1:7" ht="15" customHeight="1" x14ac:dyDescent="0.45">
      <c r="A23" s="1"/>
      <c r="B23" s="100" t="s">
        <v>94</v>
      </c>
      <c r="C23" s="101"/>
      <c r="D23" s="102"/>
      <c r="E23" s="32"/>
      <c r="F23" s="32"/>
      <c r="G23" s="1"/>
    </row>
    <row r="24" spans="1:7" ht="15" customHeight="1" x14ac:dyDescent="0.45">
      <c r="A24" s="1"/>
      <c r="B24" s="59" t="s">
        <v>94</v>
      </c>
      <c r="C24" s="43"/>
      <c r="D24" s="44"/>
      <c r="E24" s="10">
        <v>286959.45998675324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4" t="s">
        <v>89</v>
      </c>
      <c r="C26" s="95"/>
      <c r="D26" s="96"/>
      <c r="E26" s="9">
        <v>0</v>
      </c>
      <c r="F26" s="8" t="s">
        <v>3</v>
      </c>
      <c r="G26" s="1"/>
    </row>
    <row r="27" spans="1:7" ht="15" customHeight="1" x14ac:dyDescent="0.45">
      <c r="A27" s="1"/>
      <c r="B27" s="94" t="s">
        <v>90</v>
      </c>
      <c r="C27" s="95"/>
      <c r="D27" s="95"/>
      <c r="E27" s="9">
        <v>0</v>
      </c>
      <c r="F27" s="8" t="s">
        <v>3</v>
      </c>
      <c r="G27" s="1"/>
    </row>
    <row r="28" spans="1:7" ht="15" customHeight="1" x14ac:dyDescent="0.45">
      <c r="A28" s="1"/>
      <c r="B28" s="103" t="s">
        <v>95</v>
      </c>
      <c r="C28" s="104"/>
      <c r="D28" s="104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7" t="s">
        <v>185</v>
      </c>
      <c r="C30" s="98"/>
      <c r="D30" s="98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7" t="s">
        <v>148</v>
      </c>
      <c r="C32" s="98"/>
      <c r="D32" s="99"/>
      <c r="E32" s="10">
        <v>-585359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56553765.309192427</v>
      </c>
      <c r="F33" s="13" t="s">
        <v>3</v>
      </c>
      <c r="G33" s="1"/>
    </row>
    <row r="34" spans="1:7" ht="27" customHeight="1" x14ac:dyDescent="0.45">
      <c r="A34" s="1"/>
      <c r="B34" s="90" t="s">
        <v>252</v>
      </c>
      <c r="C34" s="91"/>
      <c r="D34" s="91"/>
      <c r="E34" s="91"/>
      <c r="F34" s="9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QOwn51vRd0iCKTZidsUSIQYEikNSwD1i0T8WwfcUMv576PKYPTdAcTA4Nm5SRyuV5Duzc+zoLGyqJP84Lk7/Mg==" saltValue="7wvgfIYVRdwE4/l8SHS2s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3" t="s">
        <v>130</v>
      </c>
      <c r="C2" s="93"/>
      <c r="D2" s="93"/>
      <c r="E2" s="93"/>
      <c r="F2" s="93"/>
      <c r="G2" s="93"/>
      <c r="H2" s="93"/>
      <c r="I2" s="1"/>
    </row>
    <row r="3" spans="1:9" ht="28.5" customHeight="1" x14ac:dyDescent="0.4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100" t="s">
        <v>56</v>
      </c>
      <c r="C5" s="101"/>
      <c r="D5" s="101"/>
      <c r="E5" s="101"/>
      <c r="F5" s="101"/>
      <c r="G5" s="101"/>
      <c r="H5" s="102"/>
      <c r="I5" s="1"/>
    </row>
    <row r="6" spans="1:9" x14ac:dyDescent="0.45">
      <c r="A6" s="1"/>
      <c r="B6" s="105" t="s">
        <v>45</v>
      </c>
      <c r="C6" s="106"/>
      <c r="D6" s="106"/>
      <c r="E6" s="106"/>
      <c r="F6" s="107"/>
      <c r="G6" s="24">
        <v>18386178.925204776</v>
      </c>
      <c r="H6" s="14" t="s">
        <v>3</v>
      </c>
      <c r="I6" s="1"/>
    </row>
    <row r="7" spans="1:9" x14ac:dyDescent="0.45">
      <c r="A7" s="1"/>
      <c r="B7" s="90" t="s">
        <v>145</v>
      </c>
      <c r="C7" s="91"/>
      <c r="D7" s="91"/>
      <c r="E7" s="91"/>
      <c r="F7" s="92"/>
      <c r="G7" s="24">
        <v>464521</v>
      </c>
      <c r="H7" s="14" t="s">
        <v>3</v>
      </c>
      <c r="I7" s="1"/>
    </row>
    <row r="8" spans="1:9" x14ac:dyDescent="0.45">
      <c r="A8" s="1"/>
      <c r="B8" s="105" t="s">
        <v>46</v>
      </c>
      <c r="C8" s="106"/>
      <c r="D8" s="106"/>
      <c r="E8" s="106"/>
      <c r="F8" s="107"/>
      <c r="G8" s="24">
        <f>SUM(G6:G7)*'Fane 14. Nøgletal'!C29</f>
        <v>377013.99850409554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00" t="s">
        <v>57</v>
      </c>
      <c r="C11" s="101"/>
      <c r="D11" s="101"/>
      <c r="E11" s="101"/>
      <c r="F11" s="101"/>
      <c r="G11" s="101"/>
      <c r="H11" s="102"/>
      <c r="I11" s="1"/>
    </row>
    <row r="12" spans="1:9" x14ac:dyDescent="0.45">
      <c r="A12" s="1"/>
      <c r="B12" s="105" t="s">
        <v>47</v>
      </c>
      <c r="C12" s="106"/>
      <c r="D12" s="106"/>
      <c r="E12" s="106"/>
      <c r="F12" s="107"/>
      <c r="G12" s="24">
        <f>(G6-G8)*(1+'Fane 14. Nøgletal'!C10)</f>
        <v>18324325.312917944</v>
      </c>
      <c r="H12" s="14" t="s">
        <v>3</v>
      </c>
      <c r="I12" s="1"/>
    </row>
    <row r="13" spans="1:9" ht="15" customHeight="1" x14ac:dyDescent="0.45">
      <c r="A13" s="1"/>
      <c r="B13" s="105" t="s">
        <v>146</v>
      </c>
      <c r="C13" s="106"/>
      <c r="D13" s="106"/>
      <c r="E13" s="106"/>
      <c r="F13" s="107"/>
      <c r="G13" s="68">
        <v>-1.2428170824423433E-2</v>
      </c>
      <c r="H13" s="14" t="s">
        <v>3</v>
      </c>
      <c r="I13" s="1"/>
    </row>
    <row r="14" spans="1:9" x14ac:dyDescent="0.45">
      <c r="A14" s="1"/>
      <c r="B14" s="90" t="s">
        <v>143</v>
      </c>
      <c r="C14" s="91"/>
      <c r="D14" s="91"/>
      <c r="E14" s="91"/>
      <c r="F14" s="92"/>
      <c r="G14" s="24">
        <v>464028.84</v>
      </c>
      <c r="H14" s="14" t="s">
        <v>3</v>
      </c>
      <c r="I14" s="1"/>
    </row>
    <row r="15" spans="1:9" x14ac:dyDescent="0.45">
      <c r="A15" s="1"/>
      <c r="B15" s="111" t="s">
        <v>48</v>
      </c>
      <c r="C15" s="112"/>
      <c r="D15" s="112"/>
      <c r="E15" s="112"/>
      <c r="F15" s="113"/>
      <c r="G15" s="69">
        <v>0</v>
      </c>
      <c r="H15" s="14" t="s">
        <v>3</v>
      </c>
      <c r="I15" s="1"/>
    </row>
    <row r="16" spans="1:9" x14ac:dyDescent="0.45">
      <c r="A16" s="1"/>
      <c r="B16" s="105" t="s">
        <v>49</v>
      </c>
      <c r="C16" s="106"/>
      <c r="D16" s="106"/>
      <c r="E16" s="106"/>
      <c r="F16" s="107"/>
      <c r="G16" s="24">
        <f>SUM(G12:G15)*'Fane 14. Nøgletal'!C29</f>
        <v>375767.08280979545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00" t="s">
        <v>58</v>
      </c>
      <c r="C19" s="101"/>
      <c r="D19" s="101"/>
      <c r="E19" s="101"/>
      <c r="F19" s="101"/>
      <c r="G19" s="101"/>
      <c r="H19" s="102"/>
      <c r="I19" s="1"/>
    </row>
    <row r="20" spans="1:9" x14ac:dyDescent="0.45">
      <c r="A20" s="1"/>
      <c r="B20" s="105" t="s">
        <v>50</v>
      </c>
      <c r="C20" s="106"/>
      <c r="D20" s="106"/>
      <c r="E20" s="106"/>
      <c r="F20" s="107"/>
      <c r="G20" s="24">
        <f>(SUM(G12:G13,G15)-(G16))*(1+'Fane 14. Nøgletal'!C10)</f>
        <v>18262657.986489378</v>
      </c>
      <c r="H20" s="14" t="s">
        <v>3</v>
      </c>
      <c r="I20" s="1"/>
    </row>
    <row r="21" spans="1:9" x14ac:dyDescent="0.45">
      <c r="A21" s="1"/>
      <c r="B21" s="111" t="s">
        <v>51</v>
      </c>
      <c r="C21" s="112"/>
      <c r="D21" s="112"/>
      <c r="E21" s="112"/>
      <c r="F21" s="113"/>
      <c r="G21" s="69">
        <v>0</v>
      </c>
      <c r="H21" s="14" t="s">
        <v>3</v>
      </c>
      <c r="I21" s="1"/>
    </row>
    <row r="22" spans="1:9" x14ac:dyDescent="0.45">
      <c r="A22" s="1"/>
      <c r="B22" s="105" t="s">
        <v>52</v>
      </c>
      <c r="C22" s="106"/>
      <c r="D22" s="106"/>
      <c r="E22" s="106"/>
      <c r="F22" s="107"/>
      <c r="G22" s="24">
        <f>SUM(G20:G21)*'Fane 14. Nøgletal'!C29</f>
        <v>365253.15972978756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00" t="s">
        <v>59</v>
      </c>
      <c r="C25" s="101"/>
      <c r="D25" s="101"/>
      <c r="E25" s="101"/>
      <c r="F25" s="101"/>
      <c r="G25" s="101"/>
      <c r="H25" s="102"/>
      <c r="I25" s="1"/>
    </row>
    <row r="26" spans="1:9" x14ac:dyDescent="0.45">
      <c r="A26" s="1"/>
      <c r="B26" s="105" t="s">
        <v>53</v>
      </c>
      <c r="C26" s="106"/>
      <c r="D26" s="106"/>
      <c r="E26" s="106"/>
      <c r="F26" s="107"/>
      <c r="G26" s="24">
        <f>(G20+G21-G22)*(1+'Fane 14. Nøgletal'!C12)</f>
        <v>18249983.701846756</v>
      </c>
      <c r="H26" s="14" t="s">
        <v>3</v>
      </c>
      <c r="I26" s="1"/>
    </row>
    <row r="27" spans="1:9" x14ac:dyDescent="0.45">
      <c r="A27" s="1"/>
      <c r="B27" s="111" t="s">
        <v>54</v>
      </c>
      <c r="C27" s="112"/>
      <c r="D27" s="112"/>
      <c r="E27" s="112"/>
      <c r="F27" s="113"/>
      <c r="G27" s="69">
        <v>0</v>
      </c>
      <c r="H27" s="14" t="s">
        <v>3</v>
      </c>
      <c r="I27" s="1"/>
    </row>
    <row r="28" spans="1:9" x14ac:dyDescent="0.45">
      <c r="A28" s="1"/>
      <c r="B28" s="105" t="s">
        <v>55</v>
      </c>
      <c r="C28" s="106"/>
      <c r="D28" s="106"/>
      <c r="E28" s="106"/>
      <c r="F28" s="107"/>
      <c r="G28" s="24">
        <f>(G26+G27)*'Fane 14. Nøgletal'!C29</f>
        <v>364999.67403693515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0" t="s">
        <v>62</v>
      </c>
      <c r="C31" s="101"/>
      <c r="D31" s="101"/>
      <c r="E31" s="101"/>
      <c r="F31" s="101"/>
      <c r="G31" s="101"/>
      <c r="H31" s="102"/>
      <c r="I31" s="1"/>
    </row>
    <row r="32" spans="1:9" x14ac:dyDescent="0.45">
      <c r="A32" s="1"/>
      <c r="B32" s="105" t="s">
        <v>63</v>
      </c>
      <c r="C32" s="106"/>
      <c r="D32" s="106"/>
      <c r="E32" s="106"/>
      <c r="F32" s="107"/>
      <c r="G32" s="24">
        <f>(G26+G27-G28)*(1+'Fane 14. Nøgletal'!C12)</f>
        <v>18237318.213157676</v>
      </c>
      <c r="H32" s="14" t="s">
        <v>3</v>
      </c>
      <c r="I32" s="1"/>
    </row>
    <row r="33" spans="1:9" x14ac:dyDescent="0.45">
      <c r="A33" s="1"/>
      <c r="B33" s="105" t="s">
        <v>171</v>
      </c>
      <c r="C33" s="106"/>
      <c r="D33" s="106"/>
      <c r="E33" s="106"/>
      <c r="F33" s="107"/>
      <c r="G33" s="69">
        <v>0</v>
      </c>
      <c r="H33" s="14" t="s">
        <v>3</v>
      </c>
      <c r="I33" s="1"/>
    </row>
    <row r="34" spans="1:9" x14ac:dyDescent="0.45">
      <c r="A34" s="1"/>
      <c r="B34" s="105" t="s">
        <v>64</v>
      </c>
      <c r="C34" s="106"/>
      <c r="D34" s="106"/>
      <c r="E34" s="106"/>
      <c r="F34" s="107"/>
      <c r="G34" s="24">
        <f>(G32+G33)*'Fane 14. Nøgletal'!C29</f>
        <v>364746.36426315352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00" t="s">
        <v>232</v>
      </c>
      <c r="C37" s="101"/>
      <c r="D37" s="101"/>
      <c r="E37" s="101"/>
      <c r="F37" s="101"/>
      <c r="G37" s="101"/>
      <c r="H37" s="102"/>
      <c r="I37" s="1"/>
    </row>
    <row r="38" spans="1:9" x14ac:dyDescent="0.45">
      <c r="A38" s="1"/>
      <c r="B38" s="105" t="s">
        <v>84</v>
      </c>
      <c r="C38" s="106"/>
      <c r="D38" s="106"/>
      <c r="E38" s="106"/>
      <c r="F38" s="107"/>
      <c r="G38" s="24">
        <f>(G32+G33-G34)*(1+'Fane 14. Nøgletal'!C14)</f>
        <v>17931551.335995875</v>
      </c>
      <c r="H38" s="14" t="s">
        <v>3</v>
      </c>
      <c r="I38" s="1"/>
    </row>
    <row r="39" spans="1:9" x14ac:dyDescent="0.45">
      <c r="A39" s="1"/>
      <c r="B39" s="105" t="s">
        <v>236</v>
      </c>
      <c r="C39" s="106"/>
      <c r="D39" s="106"/>
      <c r="E39" s="106"/>
      <c r="F39" s="107"/>
      <c r="G39" s="69">
        <v>0</v>
      </c>
      <c r="H39" s="14" t="s">
        <v>3</v>
      </c>
      <c r="I39" s="1"/>
    </row>
    <row r="40" spans="1:9" x14ac:dyDescent="0.45">
      <c r="A40" s="1"/>
      <c r="B40" s="105" t="s">
        <v>234</v>
      </c>
      <c r="C40" s="106"/>
      <c r="D40" s="106"/>
      <c r="E40" s="106"/>
      <c r="F40" s="107"/>
      <c r="G40" s="24">
        <f>(G38+G39)*'Fane 14. Nøgletal'!C29</f>
        <v>358631.02671991749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00" t="s">
        <v>233</v>
      </c>
      <c r="C43" s="101"/>
      <c r="D43" s="101"/>
      <c r="E43" s="101"/>
      <c r="F43" s="101"/>
      <c r="G43" s="101"/>
      <c r="H43" s="102"/>
      <c r="I43" s="1"/>
    </row>
    <row r="44" spans="1:9" x14ac:dyDescent="0.45">
      <c r="A44" s="1"/>
      <c r="B44" s="105" t="s">
        <v>83</v>
      </c>
      <c r="C44" s="106"/>
      <c r="D44" s="106"/>
      <c r="E44" s="106"/>
      <c r="F44" s="107"/>
      <c r="G44" s="24">
        <f>(G38+G39-G40)*(1+'Fane 14. Nøgletal'!C14)</f>
        <v>17630910.946296569</v>
      </c>
      <c r="H44" s="14" t="s">
        <v>3</v>
      </c>
      <c r="I44" s="1"/>
    </row>
    <row r="45" spans="1:9" x14ac:dyDescent="0.45">
      <c r="A45" s="1"/>
      <c r="B45" s="108" t="s">
        <v>237</v>
      </c>
      <c r="C45" s="109"/>
      <c r="D45" s="109"/>
      <c r="E45" s="109"/>
      <c r="F45" s="110"/>
      <c r="G45" s="69">
        <v>0</v>
      </c>
      <c r="H45" s="14" t="s">
        <v>3</v>
      </c>
      <c r="I45" s="1"/>
    </row>
    <row r="46" spans="1:9" x14ac:dyDescent="0.45">
      <c r="A46" s="1"/>
      <c r="B46" s="105" t="s">
        <v>97</v>
      </c>
      <c r="C46" s="106"/>
      <c r="D46" s="106"/>
      <c r="E46" s="106"/>
      <c r="F46" s="107"/>
      <c r="G46" s="69">
        <v>0</v>
      </c>
      <c r="H46" s="14" t="s">
        <v>3</v>
      </c>
      <c r="I46" s="1"/>
    </row>
    <row r="47" spans="1:9" x14ac:dyDescent="0.45">
      <c r="A47" s="1"/>
      <c r="B47" s="105" t="s">
        <v>235</v>
      </c>
      <c r="C47" s="106"/>
      <c r="D47" s="106"/>
      <c r="E47" s="106"/>
      <c r="F47" s="107"/>
      <c r="G47" s="24">
        <f>(G44+G46)*'Fane 14. Nøgletal'!C29</f>
        <v>352618.21892593137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172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173</v>
      </c>
      <c r="C53" s="106"/>
      <c r="D53" s="106"/>
      <c r="E53" s="106"/>
      <c r="F53" s="107"/>
      <c r="G53" s="24">
        <f>(G44+G46-G47)*(1+'Fane 14. Nøgletal'!C14)</f>
        <v>17335311.093370963</v>
      </c>
      <c r="H53" s="14" t="s">
        <v>3</v>
      </c>
      <c r="I53" s="1"/>
    </row>
    <row r="54" spans="1:9" x14ac:dyDescent="0.45">
      <c r="A54" s="1"/>
      <c r="B54" s="105" t="s">
        <v>174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175</v>
      </c>
      <c r="C55" s="106"/>
      <c r="D55" s="106"/>
      <c r="E55" s="106"/>
      <c r="F55" s="107"/>
      <c r="G55" s="24">
        <f>(G53+G54)*'Fane 14. Nøgletal'!C29</f>
        <v>346706.22186741926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17044667.267579507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69"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340893.34535159013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p2UMuDQgOC8dT7mZKOle4yQIK/fMeiI4dpEDw8vrY3ucj6BPVoJArD6leQ4ZNEkltf1TQFa8QAXpAflaK4bSww==" saltValue="Nf0FTMANfFcJz28CQYM2TQ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4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4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45">
      <c r="A4" s="1"/>
      <c r="B4" s="100" t="s">
        <v>60</v>
      </c>
      <c r="C4" s="101"/>
      <c r="D4" s="101"/>
      <c r="E4" s="101"/>
      <c r="F4" s="101"/>
      <c r="G4" s="101"/>
      <c r="H4" s="102"/>
      <c r="I4" s="1"/>
    </row>
    <row r="5" spans="1:9" x14ac:dyDescent="0.45">
      <c r="A5" s="1"/>
      <c r="B5" s="105" t="s">
        <v>65</v>
      </c>
      <c r="C5" s="106"/>
      <c r="D5" s="106"/>
      <c r="E5" s="106"/>
      <c r="F5" s="107"/>
      <c r="G5" s="24">
        <v>41792816.526209101</v>
      </c>
      <c r="H5" s="14" t="s">
        <v>3</v>
      </c>
      <c r="I5" s="1"/>
    </row>
    <row r="6" spans="1:9" x14ac:dyDescent="0.45">
      <c r="A6" s="1"/>
      <c r="B6" s="105" t="s">
        <v>61</v>
      </c>
      <c r="C6" s="106"/>
      <c r="D6" s="106"/>
      <c r="E6" s="106"/>
      <c r="F6" s="107"/>
      <c r="G6" s="24">
        <f>G5*'Fane 14. Nøgletal'!C19</f>
        <v>380314.63038850285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0" t="s">
        <v>66</v>
      </c>
      <c r="C9" s="101"/>
      <c r="D9" s="101"/>
      <c r="E9" s="101"/>
      <c r="F9" s="101"/>
      <c r="G9" s="101"/>
      <c r="H9" s="102"/>
      <c r="I9" s="1"/>
    </row>
    <row r="10" spans="1:9" x14ac:dyDescent="0.4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42137220.678997457</v>
      </c>
      <c r="H10" s="14" t="s">
        <v>3</v>
      </c>
      <c r="I10" s="1"/>
    </row>
    <row r="11" spans="1:9" x14ac:dyDescent="0.45">
      <c r="A11" s="1"/>
      <c r="B11" s="105" t="s">
        <v>147</v>
      </c>
      <c r="C11" s="106"/>
      <c r="D11" s="106"/>
      <c r="E11" s="106"/>
      <c r="F11" s="107"/>
      <c r="G11" s="24">
        <v>1267139.3656736207</v>
      </c>
      <c r="H11" s="14" t="s">
        <v>3</v>
      </c>
      <c r="I11" s="1"/>
    </row>
    <row r="12" spans="1:9" x14ac:dyDescent="0.45">
      <c r="A12" s="1"/>
      <c r="B12" s="111" t="s">
        <v>68</v>
      </c>
      <c r="C12" s="112"/>
      <c r="D12" s="112"/>
      <c r="E12" s="112"/>
      <c r="F12" s="113"/>
      <c r="G12" s="69">
        <v>0</v>
      </c>
      <c r="H12" s="14" t="s">
        <v>3</v>
      </c>
      <c r="I12" s="1"/>
    </row>
    <row r="13" spans="1:9" x14ac:dyDescent="0.4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768257.1727906781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0" t="s">
        <v>70</v>
      </c>
      <c r="C16" s="101"/>
      <c r="D16" s="101"/>
      <c r="E16" s="101"/>
      <c r="F16" s="101"/>
      <c r="G16" s="101"/>
      <c r="H16" s="102"/>
      <c r="I16" s="1"/>
    </row>
    <row r="17" spans="1:9" x14ac:dyDescent="0.4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43382234.672138318</v>
      </c>
      <c r="H17" s="14" t="s">
        <v>3</v>
      </c>
      <c r="I17" s="1"/>
    </row>
    <row r="18" spans="1:9" x14ac:dyDescent="0.45">
      <c r="A18" s="1"/>
      <c r="B18" s="111" t="s">
        <v>72</v>
      </c>
      <c r="C18" s="112"/>
      <c r="D18" s="112"/>
      <c r="E18" s="112"/>
      <c r="F18" s="113"/>
      <c r="G18" s="24">
        <v>114610.81041312998</v>
      </c>
      <c r="H18" s="14" t="s">
        <v>3</v>
      </c>
      <c r="I18" s="1"/>
    </row>
    <row r="19" spans="1:9" x14ac:dyDescent="0.4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768862.66774744249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0" t="s">
        <v>74</v>
      </c>
      <c r="C22" s="101"/>
      <c r="D22" s="101"/>
      <c r="E22" s="101"/>
      <c r="F22" s="101"/>
      <c r="G22" s="101"/>
      <c r="H22" s="102"/>
      <c r="I22" s="1"/>
    </row>
    <row r="23" spans="1:9" x14ac:dyDescent="0.4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43569724.076255642</v>
      </c>
      <c r="H23" s="14" t="s">
        <v>3</v>
      </c>
      <c r="I23" s="1"/>
    </row>
    <row r="24" spans="1:9" x14ac:dyDescent="0.45">
      <c r="A24" s="1"/>
      <c r="B24" s="111" t="s">
        <v>76</v>
      </c>
      <c r="C24" s="112"/>
      <c r="D24" s="112"/>
      <c r="E24" s="112"/>
      <c r="F24" s="113"/>
      <c r="G24" s="24">
        <v>285661.46026822139</v>
      </c>
      <c r="H24" s="14" t="s">
        <v>3</v>
      </c>
      <c r="I24" s="1"/>
    </row>
    <row r="25" spans="1:9" x14ac:dyDescent="0.4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1245492.9492372777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0" t="s">
        <v>78</v>
      </c>
      <c r="C28" s="101"/>
      <c r="D28" s="101"/>
      <c r="E28" s="101"/>
      <c r="F28" s="101"/>
      <c r="G28" s="101"/>
      <c r="H28" s="102"/>
      <c r="I28" s="1"/>
    </row>
    <row r="29" spans="1:9" x14ac:dyDescent="0.4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43449307.471256129</v>
      </c>
      <c r="H29" s="14" t="s">
        <v>3</v>
      </c>
      <c r="I29" s="1"/>
    </row>
    <row r="30" spans="1:9" x14ac:dyDescent="0.45">
      <c r="A30" s="1"/>
      <c r="B30" s="105" t="s">
        <v>176</v>
      </c>
      <c r="C30" s="106"/>
      <c r="D30" s="106"/>
      <c r="E30" s="106"/>
      <c r="F30" s="107"/>
      <c r="G30" s="24">
        <v>210451.55267556</v>
      </c>
      <c r="H30" s="14" t="s">
        <v>3</v>
      </c>
      <c r="I30" s="1"/>
    </row>
    <row r="31" spans="1:9" x14ac:dyDescent="0.4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1239747.7498822522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0" t="s">
        <v>238</v>
      </c>
      <c r="C34" s="101"/>
      <c r="D34" s="101"/>
      <c r="E34" s="101"/>
      <c r="F34" s="101"/>
      <c r="G34" s="101"/>
      <c r="H34" s="102"/>
      <c r="I34" s="1"/>
    </row>
    <row r="35" spans="1:9" x14ac:dyDescent="0.4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42559997.311253808</v>
      </c>
      <c r="H35" s="14" t="s">
        <v>3</v>
      </c>
      <c r="I35" s="1"/>
    </row>
    <row r="36" spans="1:9" x14ac:dyDescent="0.45">
      <c r="A36" s="1"/>
      <c r="B36" s="105" t="s">
        <v>240</v>
      </c>
      <c r="C36" s="106"/>
      <c r="D36" s="106"/>
      <c r="E36" s="106"/>
      <c r="F36" s="107"/>
      <c r="G36" s="69">
        <v>0</v>
      </c>
      <c r="H36" s="14" t="s">
        <v>3</v>
      </c>
      <c r="I36" s="1"/>
    </row>
    <row r="37" spans="1:9" x14ac:dyDescent="0.4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629887.96020655637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0" t="s">
        <v>85</v>
      </c>
      <c r="C40" s="101"/>
      <c r="D40" s="101"/>
      <c r="E40" s="101"/>
      <c r="F40" s="101"/>
      <c r="G40" s="101"/>
      <c r="H40" s="102"/>
      <c r="I40" s="1"/>
    </row>
    <row r="41" spans="1:9" x14ac:dyDescent="0.4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42068478.711905718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69">
        <v>0</v>
      </c>
      <c r="H42" s="14" t="s">
        <v>3</v>
      </c>
      <c r="I42" s="1"/>
    </row>
    <row r="43" spans="1:9" x14ac:dyDescent="0.45">
      <c r="A43" s="1"/>
      <c r="B43" s="105" t="s">
        <v>101</v>
      </c>
      <c r="C43" s="106"/>
      <c r="D43" s="106"/>
      <c r="E43" s="106"/>
      <c r="F43" s="107"/>
      <c r="G43" s="69">
        <v>0</v>
      </c>
      <c r="H43" s="14" t="s">
        <v>3</v>
      </c>
      <c r="I43" s="1"/>
    </row>
    <row r="44" spans="1:9" x14ac:dyDescent="0.4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622613.48493620462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0" t="s">
        <v>181</v>
      </c>
      <c r="C52" s="101"/>
      <c r="D52" s="101"/>
      <c r="E52" s="101"/>
      <c r="F52" s="101"/>
      <c r="G52" s="101"/>
      <c r="H52" s="102"/>
      <c r="I52" s="1"/>
    </row>
    <row r="53" spans="1:9" x14ac:dyDescent="0.4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41582636.582218513</v>
      </c>
      <c r="H53" s="14" t="s">
        <v>3</v>
      </c>
      <c r="I53" s="1"/>
    </row>
    <row r="54" spans="1:9" x14ac:dyDescent="0.45">
      <c r="A54" s="1"/>
      <c r="B54" s="105" t="s">
        <v>183</v>
      </c>
      <c r="C54" s="106"/>
      <c r="D54" s="106"/>
      <c r="E54" s="106"/>
      <c r="F54" s="107"/>
      <c r="G54" s="69">
        <v>0</v>
      </c>
      <c r="H54" s="14" t="s">
        <v>3</v>
      </c>
      <c r="I54" s="1"/>
    </row>
    <row r="55" spans="1:9" x14ac:dyDescent="0.4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615423.02141683397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0" t="s">
        <v>205</v>
      </c>
      <c r="C58" s="101"/>
      <c r="D58" s="101"/>
      <c r="E58" s="101"/>
      <c r="F58" s="101"/>
      <c r="G58" s="101"/>
      <c r="H58" s="102"/>
      <c r="I58" s="1"/>
    </row>
    <row r="59" spans="1:9" x14ac:dyDescent="0.4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41102405.365552329</v>
      </c>
      <c r="H59" s="14" t="s">
        <v>3</v>
      </c>
      <c r="I59" s="1"/>
    </row>
    <row r="60" spans="1:9" x14ac:dyDescent="0.45">
      <c r="A60" s="1"/>
      <c r="B60" s="105" t="s">
        <v>256</v>
      </c>
      <c r="C60" s="106"/>
      <c r="D60" s="106"/>
      <c r="E60" s="106"/>
      <c r="F60" s="107"/>
      <c r="G60" s="69">
        <v>0</v>
      </c>
      <c r="H60" s="14" t="s">
        <v>3</v>
      </c>
      <c r="I60" s="1"/>
    </row>
    <row r="61" spans="1:9" x14ac:dyDescent="0.4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608315.59941017453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x8/x1v82inmoaviVwoT5ZE8d5RymZ5TmaJDEk7f6KibV17tkzUC6IHui9/cx4G59wNRGAsNjF/vDFpXdGvDgnw==" saltValue="u4ftmatJpg1PaoOalKAo4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0" t="s">
        <v>10</v>
      </c>
      <c r="C8" s="101"/>
      <c r="D8" s="101"/>
      <c r="E8" s="101"/>
      <c r="F8" s="101"/>
      <c r="G8" s="101"/>
      <c r="H8" s="102"/>
      <c r="I8" s="1"/>
    </row>
    <row r="9" spans="1:9" x14ac:dyDescent="0.45">
      <c r="A9" s="1"/>
      <c r="B9" s="105" t="s">
        <v>243</v>
      </c>
      <c r="C9" s="106"/>
      <c r="D9" s="106"/>
      <c r="E9" s="106"/>
      <c r="F9" s="107"/>
      <c r="G9" s="23">
        <v>1.8078884003020133E-2</v>
      </c>
      <c r="H9" s="14"/>
      <c r="I9" s="1"/>
    </row>
    <row r="10" spans="1:9" x14ac:dyDescent="0.45">
      <c r="A10" s="1"/>
      <c r="B10" s="105" t="s">
        <v>86</v>
      </c>
      <c r="C10" s="106"/>
      <c r="D10" s="106"/>
      <c r="E10" s="106"/>
      <c r="F10" s="107"/>
      <c r="G10" s="23">
        <v>0.02</v>
      </c>
      <c r="H10" s="14"/>
      <c r="I10" s="1"/>
    </row>
    <row r="11" spans="1:9" x14ac:dyDescent="0.45">
      <c r="A11" s="1"/>
      <c r="B11" s="105" t="s">
        <v>87</v>
      </c>
      <c r="C11" s="106"/>
      <c r="D11" s="106"/>
      <c r="E11" s="106"/>
      <c r="F11" s="107"/>
      <c r="G11" s="41">
        <v>3.8907822372139223E-3</v>
      </c>
      <c r="H11" s="14"/>
      <c r="I11" s="1"/>
    </row>
    <row r="12" spans="1:9" x14ac:dyDescent="0.45">
      <c r="A12" s="1"/>
      <c r="B12" s="105" t="s">
        <v>206</v>
      </c>
      <c r="C12" s="106"/>
      <c r="D12" s="106"/>
      <c r="E12" s="106"/>
      <c r="F12" s="107"/>
      <c r="G12" s="41">
        <v>3.0042201608494732E-3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4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M81L1UsjIbx6odzTEM6wyf7/ldm7BBjH0+f1ShVq8J9KMoZ/abpLAAELjqOMzYGhCu2rzCsNmMWgmmApTnlQQ==" saltValue="cFB7de0nyPXvKiX5f5COb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2021-09-08T21:20:27Z</dcterms:modified>
</cp:coreProperties>
</file>