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rsens Vand AS (V097)\ØR2027\"/>
    </mc:Choice>
  </mc:AlternateContent>
  <xr:revisionPtr revIDLastSave="0" documentId="13_ncr:1_{513C6C3F-97A5-4C8F-B5F5-3DCE8CFCB6D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3" i="3" l="1"/>
  <c r="C12" i="11"/>
  <c r="C19" i="3" s="1"/>
  <c r="C12" i="3"/>
  <c r="C16" i="12"/>
  <c r="C20" i="3" s="1"/>
  <c r="C12" i="7"/>
  <c r="C20" i="7" s="1"/>
  <c r="C12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3" i="4" l="1"/>
  <c r="C16" i="4" s="1"/>
  <c r="C20" i="4" s="1"/>
  <c r="C25" i="4" s="1"/>
  <c r="C11" i="3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<sst xmlns="http://schemas.openxmlformats.org/spreadsheetml/2006/main" count="337" uniqueCount="155">
  <si>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</si>
  <si>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</si>
  <si>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</si>
  <si>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</si>
  <si>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</si>
  <si>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</si>
  <si>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</si>
  <si>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</si>
  <si>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</si>
  <si>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</si>
  <si>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</si>
  <si>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</si>
  <si>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</si>
  <si>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</si>
  <si>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</si>
  <si>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</si>
  <si>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</si>
  <si>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</si>
  <si>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</si>
  <si>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</si>
  <si>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</si>
  <si>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</si>
  <si>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</si>
  <si>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</si>
  <si>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</si>
  <si>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</si>
  <si>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</si>
  <si>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</si>
  <si>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</si>
  <si>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</si>
  <si>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</si>
  <si>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</si>
  <si>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</si>
  <si>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</si>
  <si>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</si>
  <si>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</si>
  <si>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</si>
  <si>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</si>
  <si>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</si>
  <si>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</si>
  <si>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</si>
  <si>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</si>
  <si>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</si>
  <si>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</si>
  <si>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</si>
  <si>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</si>
  <si>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</si>
  <si>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</si>
  <si>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</si>
  <si>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</si>
  <si>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</si>
  <si>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</si>
  <si>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</si>
  <si>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</si>
  <si>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</si>
  <si>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</si>
  <si>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</si>
  <si>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</si>
  <si>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</si>
  <si>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</si>
  <si>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</si>
  <si>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</si>
  <si>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</si>
  <si>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</si>
  <si>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</si>
  <si>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</si>
  <si>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</si>
  <si>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</si>
  <si>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</si>
  <si>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</si>
  <si>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</si>
  <si>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</si>
  <si>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</si>
  <si>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</si>
  <si>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</si>
  <si>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</si>
  <si>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</si>
  <si>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</si>
  <si>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</si>
  <si>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</si>
  <si>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</si>
  <si>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</si>
  <si>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</si>
  <si>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</si>
  <si>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</si>
  <si>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</si>
  <si>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</si>
  <si>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</si>
  <si>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</si>
  <si>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</si>
  <si>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</si>
  <si>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</si>
  <si>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</si>
  <si>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</si>
  <si>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</si>
  <si>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</si>
  <si>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</si>
  <si>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</si>
  <si>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</si>
  <si>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</si>
  <si>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</si>
  <si>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</si>
  <si>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</si>
  <si>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</si>
  <si>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</si>
  <si>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</si>
  <si>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</si>
  <si>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</si>
  <si>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</si>
  <si>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</si>
  <si>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</si>
  <si>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</si>
  <si>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</si>
  <si>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</si>
  <si>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</si>
  <si>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</si>
  <si>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</si>
  <si>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</si>
  <si>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</si>
  <si>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</si>
  <si>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</si>
  <si>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</si>
  <si>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</si>
  <si>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</si>
  <si>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</si>
  <si>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</si>
  <si>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</si>
  <si>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</si>
  <si>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</si>
  <si>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</si>
  <si>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</si>
  <si>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</si>
  <si>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</si>
  <si>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</si>
  <si>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</si>
  <si>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</si>
  <si>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</si>
  <si>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</si>
  <si>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</si>
  <si>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</si>
  <si>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</si>
  <si>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</si>
  <si>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</si>
  <si>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</si>
  <si>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</si>
  <si>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</si>
  <si>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</si>
  <si>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</si>
  <si>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</si>
  <si>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CER-tiltag</t>
  </si>
  <si>
    <t>Driftsomkostninger til fjernaflæste målere</t>
  </si>
  <si>
    <t>Flytning af forsyningsledninger 2025</t>
  </si>
  <si>
    <t>Udvidelse af forsyningsområdet 2025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</si>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</sst>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0" fontId="19" fillId="4" borderId="1" xfId="0" applyFont="1" applyFill="1" applyBorder="1" applyAlignment="1" applyProtection="1">
      <alignment horizontal="left"/>
    </xf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rDP2/MPocCDVrrq8tbGsaoSC0HTrBABLYmjbCH8EPZZlzWC0/zZzyQ2j9aW1NsfNokAwT3D6hn0pmM4PTVG37g==" saltValue="33dlKDARqdgv4l/SdnUvb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45918611.908029698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584416.33913600002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-479577.91393228626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593702.50929871097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46617152.842532121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46617152.842532121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De1MinC6ZRZYuhCkqu1flvg15uOaOaZSO0dsBjDuprEMvjKK2h0ZgtSS3n5zmUvRcccNgSUK8ZDYMKDkZFwJ1g==" saltValue="Jv81DAmOjS/+nsu5XrwRx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72230396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2638336.226725</v>
      </c>
      <c r="D10" s="46" t="s">
        <v>31</v>
      </c>
      <c r="E10" s="11"/>
    </row>
    <row r="11" spans="1:5" ht="15" customHeight="1" x14ac:dyDescent="0.25">
      <c r="A11" s="11"/>
      <c r="B11" s="47" t="s">
        <v>154</v>
      </c>
      <c r="C11" s="45">
        <v>3346355</v>
      </c>
      <c r="D11" s="46" t="s">
        <v>31</v>
      </c>
      <c r="E11" s="11"/>
    </row>
    <row r="12" spans="1:5" ht="15" customHeight="1" x14ac:dyDescent="0.25">
      <c r="A12" s="11"/>
      <c r="B12" s="44" t="s">
        <v>131</v>
      </c>
      <c r="C12" s="48">
        <f>'5.1. § 10-tillæg'!C20+'5.2. Varige tillæg'!C18+'5.2. Varige tillæg'!E18+'5.3. Engangstillæg'!C13+'5.3. Engangstillæg'!E13</f>
        <v>812368.52866437007</v>
      </c>
      <c r="D12" s="46" t="s">
        <v>31</v>
      </c>
      <c r="E12" s="11"/>
    </row>
    <row r="13" spans="1:5" ht="15" customHeight="1" x14ac:dyDescent="0.25">
      <c r="A13" s="11"/>
      <c r="B13" s="35" t="s">
        <v>129</v>
      </c>
      <c r="C13" s="36">
        <f>C9+C10+C11+C12</f>
        <v>79027455.755389363</v>
      </c>
      <c r="D13" s="37" t="s">
        <v>31</v>
      </c>
      <c r="E13" s="11"/>
    </row>
    <row r="14" spans="1:5" ht="15" customHeight="1" x14ac:dyDescent="0.25">
      <c r="A14" s="11"/>
      <c r="B14" s="44" t="s">
        <v>85</v>
      </c>
      <c r="C14" s="45">
        <v>77233783</v>
      </c>
      <c r="D14" s="46" t="s">
        <v>31</v>
      </c>
      <c r="E14" s="11"/>
    </row>
    <row r="15" spans="1:5" ht="15" customHeight="1" x14ac:dyDescent="0.25">
      <c r="A15" s="11"/>
      <c r="B15" s="49" t="s">
        <v>43</v>
      </c>
      <c r="C15" s="45">
        <v>0</v>
      </c>
      <c r="D15" s="46" t="s">
        <v>31</v>
      </c>
      <c r="E15" s="11"/>
    </row>
    <row r="16" spans="1:5" ht="15" customHeight="1" x14ac:dyDescent="0.25">
      <c r="A16" s="11"/>
      <c r="B16" s="25" t="s">
        <v>132</v>
      </c>
      <c r="C16" s="41">
        <f>C13-C14</f>
        <v>1793672.7553893626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86</v>
      </c>
      <c r="C18" s="26"/>
      <c r="D18" s="27"/>
      <c r="E18" s="11"/>
    </row>
    <row r="19" spans="1:5" ht="15" customHeight="1" x14ac:dyDescent="0.25">
      <c r="A19" s="11"/>
      <c r="B19" s="44" t="s">
        <v>127</v>
      </c>
      <c r="C19" s="45">
        <v>5297382</v>
      </c>
      <c r="D19" s="46" t="s">
        <v>31</v>
      </c>
      <c r="E19" s="11"/>
    </row>
    <row r="20" spans="1:5" ht="15" customHeight="1" x14ac:dyDescent="0.25">
      <c r="A20" s="11"/>
      <c r="B20" s="25" t="s">
        <v>142</v>
      </c>
      <c r="C20" s="41">
        <f>C16+C19</f>
        <v>7091054.7553893626</v>
      </c>
      <c r="D20" s="27" t="s">
        <v>31</v>
      </c>
      <c r="E20" s="11"/>
    </row>
    <row r="21" spans="1:5" ht="49.5" customHeight="1" x14ac:dyDescent="0.25">
      <c r="A21" s="11"/>
      <c r="B21" s="50" t="s">
        <v>143</v>
      </c>
      <c r="C21" s="51"/>
      <c r="D21" s="52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144</v>
      </c>
      <c r="C23" s="26"/>
      <c r="D23" s="27"/>
      <c r="E23" s="11"/>
    </row>
    <row r="24" spans="1:5" ht="27.95" customHeight="1" x14ac:dyDescent="0.25">
      <c r="A24" s="11"/>
      <c r="B24" s="53" t="s">
        <v>145</v>
      </c>
      <c r="C24" s="54">
        <f>100*5297382/(70814006+5896480)</f>
        <v>6.9056817082347779</v>
      </c>
      <c r="D24" s="46" t="s">
        <v>146</v>
      </c>
      <c r="E24" s="11"/>
    </row>
    <row r="25" spans="1:5" ht="27.95" customHeight="1" x14ac:dyDescent="0.25">
      <c r="A25" s="11"/>
      <c r="B25" s="53" t="s">
        <v>147</v>
      </c>
      <c r="C25" s="54">
        <f>C20/C13*100</f>
        <v>8.9729002251293917</v>
      </c>
      <c r="D25" s="46" t="s">
        <v>146</v>
      </c>
      <c r="E25" s="11"/>
    </row>
    <row r="26" spans="1:5" ht="56.25" customHeight="1" x14ac:dyDescent="0.25">
      <c r="A26" s="11"/>
      <c r="B26" s="50" t="s">
        <v>148</v>
      </c>
      <c r="C26" s="51"/>
      <c r="D26" s="52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agMbjUBBncNLbLk9NfBajRk9uUo24kdG3YfHQ0TPJhioJ91ACRWgpFLWG1Fpfb0IPkJkgCc/ZjG8iTy0bjtxKg==" saltValue="mwbv+b8LqMRyF8BhcC+lKw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5"/>
      <c r="B1" s="55"/>
      <c r="C1" s="55"/>
      <c r="D1" s="55"/>
      <c r="E1" s="55"/>
    </row>
    <row r="2" spans="1:5" ht="15" customHeight="1" x14ac:dyDescent="0.25">
      <c r="A2" s="55"/>
      <c r="B2" s="55"/>
      <c r="C2" s="55"/>
      <c r="D2" s="55"/>
      <c r="E2" s="55"/>
    </row>
    <row r="3" spans="1:5" ht="24.95" customHeight="1" x14ac:dyDescent="0.25">
      <c r="A3" s="55"/>
      <c r="B3" s="56" t="s">
        <v>87</v>
      </c>
      <c r="C3" s="56"/>
      <c r="D3" s="56"/>
      <c r="E3" s="55"/>
    </row>
    <row r="4" spans="1:5" ht="15" customHeight="1" x14ac:dyDescent="0.25">
      <c r="A4" s="55"/>
      <c r="B4" s="56"/>
      <c r="C4" s="56"/>
      <c r="D4" s="56"/>
      <c r="E4" s="55"/>
    </row>
    <row r="5" spans="1:5" ht="15" customHeight="1" x14ac:dyDescent="0.25">
      <c r="A5" s="55"/>
      <c r="B5" s="56"/>
      <c r="C5" s="56"/>
      <c r="D5" s="56"/>
      <c r="E5" s="55"/>
    </row>
    <row r="6" spans="1:5" ht="15" customHeight="1" x14ac:dyDescent="0.25">
      <c r="A6" s="55"/>
      <c r="B6" s="55"/>
      <c r="C6" s="55"/>
      <c r="D6" s="55"/>
      <c r="E6" s="55"/>
    </row>
    <row r="7" spans="1:5" ht="15" customHeight="1" x14ac:dyDescent="0.25">
      <c r="A7" s="55"/>
      <c r="B7" s="55"/>
      <c r="C7" s="55"/>
      <c r="D7" s="55"/>
      <c r="E7" s="55"/>
    </row>
    <row r="8" spans="1:5" ht="15" customHeight="1" x14ac:dyDescent="0.25">
      <c r="A8" s="55"/>
      <c r="B8" s="57" t="s">
        <v>135</v>
      </c>
      <c r="C8" s="58"/>
      <c r="D8" s="59"/>
      <c r="E8" s="55"/>
    </row>
    <row r="9" spans="1:5" ht="15" customHeight="1" x14ac:dyDescent="0.25">
      <c r="A9" s="55"/>
      <c r="B9" s="60" t="s">
        <v>122</v>
      </c>
      <c r="C9" s="61">
        <v>40876178.887749307</v>
      </c>
      <c r="D9" s="62" t="s">
        <v>31</v>
      </c>
      <c r="E9" s="55"/>
    </row>
    <row r="10" spans="1:5" ht="15" customHeight="1" x14ac:dyDescent="0.25">
      <c r="A10" s="55"/>
      <c r="B10" s="63" t="s">
        <v>32</v>
      </c>
      <c r="C10" s="61">
        <v>2638336.226725</v>
      </c>
      <c r="D10" s="62" t="s">
        <v>31</v>
      </c>
      <c r="E10" s="55"/>
    </row>
    <row r="11" spans="1:5" ht="15" customHeight="1" x14ac:dyDescent="0.25">
      <c r="A11" s="55"/>
      <c r="B11" s="63" t="s">
        <v>62</v>
      </c>
      <c r="C11" s="64">
        <v>0</v>
      </c>
      <c r="D11" s="62" t="s">
        <v>31</v>
      </c>
      <c r="E11" s="55"/>
    </row>
    <row r="12" spans="1:5" ht="15" customHeight="1" x14ac:dyDescent="0.25">
      <c r="A12" s="55"/>
      <c r="B12" s="63" t="s">
        <v>24</v>
      </c>
      <c r="C12" s="65">
        <v>0</v>
      </c>
      <c r="D12" s="62" t="s">
        <v>31</v>
      </c>
      <c r="E12" s="55"/>
    </row>
    <row r="13" spans="1:5" ht="15" customHeight="1" x14ac:dyDescent="0.25">
      <c r="A13" s="55"/>
      <c r="B13" s="63" t="s">
        <v>34</v>
      </c>
      <c r="C13" s="65">
        <v>0</v>
      </c>
      <c r="D13" s="62" t="s">
        <v>31</v>
      </c>
      <c r="E13" s="55"/>
    </row>
    <row r="14" spans="1:5" ht="15" customHeight="1" x14ac:dyDescent="0.25">
      <c r="A14" s="55"/>
      <c r="B14" s="63" t="s">
        <v>35</v>
      </c>
      <c r="C14" s="66">
        <v>0</v>
      </c>
      <c r="D14" s="62" t="s">
        <v>31</v>
      </c>
      <c r="E14" s="55"/>
    </row>
    <row r="15" spans="1:5" ht="15" customHeight="1" x14ac:dyDescent="0.25">
      <c r="A15" s="55"/>
      <c r="B15" s="63" t="s">
        <v>36</v>
      </c>
      <c r="C15" s="66">
        <v>-451013.37197247613</v>
      </c>
      <c r="D15" s="62" t="s">
        <v>31</v>
      </c>
      <c r="E15" s="55"/>
    </row>
    <row r="16" spans="1:5" ht="15" customHeight="1" x14ac:dyDescent="0.25">
      <c r="A16" s="55"/>
      <c r="B16" s="63" t="s">
        <v>37</v>
      </c>
      <c r="C16" s="65">
        <v>2855110.1655278709</v>
      </c>
      <c r="D16" s="62" t="s">
        <v>31</v>
      </c>
      <c r="E16" s="55"/>
    </row>
    <row r="17" spans="1:5" ht="15" customHeight="1" x14ac:dyDescent="0.25">
      <c r="A17" s="55"/>
      <c r="B17" s="67" t="s">
        <v>38</v>
      </c>
      <c r="C17" s="68">
        <v>45918611.908029698</v>
      </c>
      <c r="D17" s="69" t="s">
        <v>31</v>
      </c>
      <c r="E17" s="55"/>
    </row>
    <row r="18" spans="1:5" ht="15" customHeight="1" x14ac:dyDescent="0.25">
      <c r="A18" s="55"/>
      <c r="B18" s="70" t="s">
        <v>123</v>
      </c>
      <c r="C18" s="66">
        <v>3346355</v>
      </c>
      <c r="D18" s="71" t="s">
        <v>31</v>
      </c>
      <c r="E18" s="55"/>
    </row>
    <row r="19" spans="1:5" ht="27" customHeight="1" x14ac:dyDescent="0.25">
      <c r="A19" s="55"/>
      <c r="B19" s="72" t="s">
        <v>40</v>
      </c>
      <c r="C19" s="66">
        <v>0</v>
      </c>
      <c r="D19" s="71" t="s">
        <v>31</v>
      </c>
      <c r="E19" s="55"/>
    </row>
    <row r="20" spans="1:5" ht="15" customHeight="1" x14ac:dyDescent="0.25">
      <c r="A20" s="55"/>
      <c r="B20" s="73" t="s">
        <v>41</v>
      </c>
      <c r="C20" s="74">
        <v>-4265451.9377044179</v>
      </c>
      <c r="D20" s="75" t="s">
        <v>31</v>
      </c>
      <c r="E20" s="55"/>
    </row>
    <row r="21" spans="1:5" ht="15" customHeight="1" x14ac:dyDescent="0.25">
      <c r="A21" s="55"/>
      <c r="B21" s="60" t="s">
        <v>124</v>
      </c>
      <c r="C21" s="66">
        <v>0</v>
      </c>
      <c r="D21" s="71" t="s">
        <v>31</v>
      </c>
      <c r="E21" s="55"/>
    </row>
    <row r="22" spans="1:5" ht="15" customHeight="1" x14ac:dyDescent="0.25">
      <c r="A22" s="55"/>
      <c r="B22" s="70" t="s">
        <v>42</v>
      </c>
      <c r="C22" s="66">
        <v>0</v>
      </c>
      <c r="D22" s="71" t="s">
        <v>31</v>
      </c>
      <c r="E22" s="55"/>
    </row>
    <row r="23" spans="1:5" ht="15" customHeight="1" x14ac:dyDescent="0.25">
      <c r="A23" s="55"/>
      <c r="B23" s="57" t="s">
        <v>153</v>
      </c>
      <c r="C23" s="76">
        <v>44999514.970325276</v>
      </c>
      <c r="D23" s="59" t="s">
        <v>31</v>
      </c>
      <c r="E23" s="55"/>
    </row>
    <row r="24" spans="1:5" ht="30" customHeight="1" x14ac:dyDescent="0.25">
      <c r="A24" s="55"/>
      <c r="B24" s="77" t="s">
        <v>136</v>
      </c>
      <c r="C24" s="77"/>
      <c r="D24" s="77"/>
      <c r="E24" s="55"/>
    </row>
    <row r="25" spans="1:5" ht="15" customHeight="1" x14ac:dyDescent="0.25">
      <c r="A25" s="55"/>
      <c r="B25" s="55"/>
      <c r="C25" s="55"/>
      <c r="D25" s="55"/>
      <c r="E25" s="55"/>
    </row>
    <row r="26" spans="1:5" ht="15" customHeight="1" x14ac:dyDescent="0.25"/>
  </sheetData>
  <sheetProtection algorithmName="SHA-512" hashValue="Q88XGgWz8yH2PXBbfP6/6V2xTx7/uewZoVPPi4HVwa+te989RO7LUKTOuAlEHHe8uWxdUymWZsCwTDHQG+2/wA==" saltValue="f1oLHFx9LVu2Rj/6cyKov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8"/>
      <c r="C1" s="78"/>
      <c r="D1" s="78"/>
      <c r="E1" s="11"/>
    </row>
    <row r="2" spans="1:5" ht="15" customHeight="1" x14ac:dyDescent="0.25">
      <c r="A2" s="11"/>
      <c r="B2" s="78"/>
      <c r="C2" s="78"/>
      <c r="D2" s="78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9"/>
      <c r="C6" s="79"/>
      <c r="D6" s="79"/>
      <c r="E6" s="11"/>
    </row>
    <row r="7" spans="1:5" ht="15" customHeight="1" x14ac:dyDescent="0.25">
      <c r="A7" s="11"/>
      <c r="B7" s="80"/>
      <c r="C7" s="11"/>
      <c r="D7" s="11"/>
      <c r="E7" s="11"/>
    </row>
    <row r="8" spans="1:5" ht="14.25" customHeight="1" x14ac:dyDescent="0.25">
      <c r="A8" s="11"/>
      <c r="B8" s="81" t="s">
        <v>88</v>
      </c>
      <c r="C8" s="82"/>
      <c r="D8" s="83"/>
      <c r="E8" s="11"/>
    </row>
    <row r="9" spans="1:5" ht="15" customHeight="1" x14ac:dyDescent="0.25">
      <c r="A9" s="11"/>
      <c r="B9" s="53" t="s">
        <v>89</v>
      </c>
      <c r="C9" s="2">
        <v>24045777.926712565</v>
      </c>
      <c r="D9" s="46" t="s">
        <v>31</v>
      </c>
      <c r="E9" s="11"/>
    </row>
    <row r="10" spans="1:5" ht="15" customHeight="1" x14ac:dyDescent="0.25">
      <c r="A10" s="11"/>
      <c r="B10" s="84" t="s">
        <v>90</v>
      </c>
      <c r="C10" s="3">
        <f>-'8. Nøgletal'!C19*C9</f>
        <v>-480915.55853425129</v>
      </c>
      <c r="D10" s="46" t="s">
        <v>31</v>
      </c>
      <c r="E10" s="11"/>
    </row>
    <row r="11" spans="1:5" ht="15" customHeight="1" x14ac:dyDescent="0.25">
      <c r="A11" s="11"/>
      <c r="B11" s="84" t="s">
        <v>91</v>
      </c>
      <c r="C11" s="2">
        <f>('5.2. Varige tillæg'!C18)*(1+'8. Nøgletal'!C9)*(1-'8. Nøgletal'!C19)+'5.6 Anlægsprojekter'!C12-'6. Bortfald'!C12+'7. Tilknyttet virksomhed'!C12</f>
        <v>414033.32843600004</v>
      </c>
      <c r="D11" s="46" t="s">
        <v>31</v>
      </c>
      <c r="E11" s="11"/>
    </row>
    <row r="12" spans="1:5" ht="15" customHeight="1" x14ac:dyDescent="0.25">
      <c r="A12" s="11"/>
      <c r="B12" s="53" t="s">
        <v>92</v>
      </c>
      <c r="C12" s="2">
        <f>SUM(C9:C11)</f>
        <v>23978895.696614314</v>
      </c>
      <c r="D12" s="46" t="s">
        <v>31</v>
      </c>
      <c r="E12" s="11"/>
    </row>
    <row r="13" spans="1:5" ht="15" customHeight="1" x14ac:dyDescent="0.25">
      <c r="A13" s="11"/>
      <c r="B13" s="85" t="s">
        <v>93</v>
      </c>
      <c r="C13" s="86">
        <f>-C12*'8. Nøgletal'!C19</f>
        <v>-479577.91393228626</v>
      </c>
      <c r="D13" s="87" t="s">
        <v>31</v>
      </c>
      <c r="E13" s="88"/>
    </row>
    <row r="14" spans="1:5" ht="15" customHeight="1" x14ac:dyDescent="0.25">
      <c r="A14" s="11"/>
      <c r="B14" s="81" t="s">
        <v>94</v>
      </c>
      <c r="C14" s="82"/>
      <c r="D14" s="83"/>
      <c r="E14" s="11"/>
    </row>
    <row r="15" spans="1:5" ht="15" customHeight="1" x14ac:dyDescent="0.25">
      <c r="A15" s="11"/>
      <c r="B15" s="44" t="s">
        <v>46</v>
      </c>
      <c r="C15" s="3">
        <v>26693384.303800717</v>
      </c>
      <c r="D15" s="46" t="s">
        <v>31</v>
      </c>
      <c r="E15" s="11"/>
    </row>
    <row r="16" spans="1:5" ht="15" customHeight="1" x14ac:dyDescent="0.25">
      <c r="A16" s="11"/>
      <c r="B16" s="84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4" t="s">
        <v>95</v>
      </c>
      <c r="C17" s="2">
        <f>('5.2. Varige tillæg'!E18)*(1+'8. Nøgletal'!C9)*(1-'8. Nøgletal'!C14)+'5.6 Anlægsprojekter'!E12-'6. Bortfald'!E12+'7. Tilknyttet virksomhed'!E12</f>
        <v>170383.01070000001</v>
      </c>
      <c r="D17" s="46" t="s">
        <v>31</v>
      </c>
      <c r="E17" s="11"/>
    </row>
    <row r="18" spans="1:5" ht="15" customHeight="1" x14ac:dyDescent="0.25">
      <c r="A18" s="11"/>
      <c r="B18" s="53" t="s">
        <v>96</v>
      </c>
      <c r="C18" s="2">
        <f>SUM(C15:C17)</f>
        <v>26863767.314500716</v>
      </c>
      <c r="D18" s="46" t="s">
        <v>31</v>
      </c>
      <c r="E18" s="11"/>
    </row>
    <row r="19" spans="1:5" ht="15" customHeight="1" x14ac:dyDescent="0.25">
      <c r="A19" s="11"/>
      <c r="B19" s="85" t="s">
        <v>97</v>
      </c>
      <c r="C19" s="86">
        <f>-C18*'8. Nøgletal'!C15</f>
        <v>0</v>
      </c>
      <c r="D19" s="87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-479577.91393228626</v>
      </c>
      <c r="D20" s="27" t="s">
        <v>31</v>
      </c>
      <c r="E20" s="11"/>
    </row>
    <row r="21" spans="1:5" ht="39.950000000000003" customHeight="1" x14ac:dyDescent="0.25">
      <c r="A21" s="11"/>
      <c r="B21" s="89" t="s">
        <v>125</v>
      </c>
      <c r="C21" s="90"/>
      <c r="D21" s="91"/>
      <c r="E21" s="88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tzAwCTye2G/m8zJKt6/sfxRy6+aMvkwnhOmHGR6nVnoDQvF/ZI9sGsetWEYguI/iYC9gpwW9GwuadAMG/xMwQQ==" saltValue="xMpmxL2b20b4yQ09w0q8V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2" t="s">
        <v>99</v>
      </c>
      <c r="C8" s="93"/>
      <c r="D8" s="94"/>
      <c r="E8" s="11"/>
    </row>
    <row r="9" spans="1:5" ht="15" customHeight="1" x14ac:dyDescent="0.25">
      <c r="A9" s="11"/>
      <c r="B9" s="95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5" t="s">
        <v>138</v>
      </c>
      <c r="C10" s="33">
        <f>'5.1.a. § 10-tillæg'!E10</f>
        <v>8901.5286643700092</v>
      </c>
      <c r="D10" s="46" t="s">
        <v>31</v>
      </c>
      <c r="E10" s="11"/>
    </row>
    <row r="11" spans="1:5" ht="15" customHeight="1" x14ac:dyDescent="0.25">
      <c r="A11" s="11"/>
      <c r="B11" s="95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5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6"/>
      <c r="C13" s="97"/>
      <c r="D13" s="46" t="s">
        <v>31</v>
      </c>
      <c r="E13" s="11"/>
    </row>
    <row r="14" spans="1:5" ht="15" customHeight="1" x14ac:dyDescent="0.25">
      <c r="A14" s="11"/>
      <c r="B14" s="96"/>
      <c r="C14" s="97"/>
      <c r="D14" s="46" t="s">
        <v>31</v>
      </c>
      <c r="E14" s="11"/>
    </row>
    <row r="15" spans="1:5" ht="15" customHeight="1" x14ac:dyDescent="0.25">
      <c r="A15" s="11"/>
      <c r="B15" s="96"/>
      <c r="C15" s="97"/>
      <c r="D15" s="46" t="s">
        <v>31</v>
      </c>
      <c r="E15" s="11"/>
    </row>
    <row r="16" spans="1:5" ht="15" customHeight="1" x14ac:dyDescent="0.25">
      <c r="A16" s="11"/>
      <c r="B16" s="96"/>
      <c r="C16" s="97"/>
      <c r="D16" s="46" t="s">
        <v>31</v>
      </c>
      <c r="E16" s="11"/>
    </row>
    <row r="17" spans="1:5" ht="15" customHeight="1" x14ac:dyDescent="0.25">
      <c r="A17" s="11"/>
      <c r="B17" s="96"/>
      <c r="C17" s="97"/>
      <c r="D17" s="46" t="s">
        <v>31</v>
      </c>
      <c r="E17" s="11"/>
    </row>
    <row r="18" spans="1:5" ht="15" customHeight="1" x14ac:dyDescent="0.25">
      <c r="A18" s="11"/>
      <c r="B18" s="96"/>
      <c r="C18" s="97"/>
      <c r="D18" s="46" t="s">
        <v>31</v>
      </c>
      <c r="E18" s="11"/>
    </row>
    <row r="19" spans="1:5" ht="15" customHeight="1" x14ac:dyDescent="0.25">
      <c r="A19" s="11"/>
      <c r="B19" s="96"/>
      <c r="C19" s="97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8">
        <f>SUM(C9:C19)</f>
        <v>8901.5286643700092</v>
      </c>
      <c r="D20" s="99" t="s">
        <v>31</v>
      </c>
      <c r="E20" s="11"/>
    </row>
    <row r="21" spans="1:5" ht="15" customHeight="1" x14ac:dyDescent="0.25">
      <c r="A21" s="11"/>
      <c r="B21" s="100"/>
      <c r="C21" s="101"/>
      <c r="D21" s="101"/>
      <c r="E21" s="11"/>
    </row>
    <row r="22" spans="1:5" ht="15" customHeight="1" x14ac:dyDescent="0.25">
      <c r="A22" s="11"/>
      <c r="B22" s="81" t="s">
        <v>39</v>
      </c>
      <c r="C22" s="82"/>
      <c r="D22" s="83"/>
      <c r="E22" s="11"/>
    </row>
    <row r="23" spans="1:5" ht="15" customHeight="1" x14ac:dyDescent="0.25">
      <c r="A23" s="11"/>
      <c r="B23" s="102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3" t="s">
        <v>50</v>
      </c>
      <c r="C24" s="104">
        <v>0</v>
      </c>
      <c r="D24" s="105" t="s">
        <v>31</v>
      </c>
      <c r="E24" s="11"/>
    </row>
    <row r="25" spans="1:5" ht="15" customHeight="1" x14ac:dyDescent="0.25">
      <c r="A25" s="11"/>
      <c r="B25" s="25" t="s">
        <v>48</v>
      </c>
      <c r="C25" s="98">
        <f>SUM(C23:C24)</f>
        <v>0</v>
      </c>
      <c r="D25" s="99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H6hw1E4edf/jAY2k02bXUUVulqUqU77a589hH3+TOp30jKr6+QMbKfAefj9cLRLHd/40sIbE6/di4GRnejJ3iA==" saltValue="Ou2Iog8bvyXvjM++NKw5K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5" t="s">
        <v>137</v>
      </c>
      <c r="C9" s="33">
        <v>31545068.795373011</v>
      </c>
      <c r="D9" s="33">
        <v>27687035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5" t="s">
        <v>138</v>
      </c>
      <c r="C10" s="33">
        <v>126009.82133563</v>
      </c>
      <c r="D10" s="33">
        <v>134911.35</v>
      </c>
      <c r="E10" s="33">
        <f t="shared" ref="E10:E19" si="0">MAX(D10-C10,0)</f>
        <v>8901.5286643700092</v>
      </c>
      <c r="F10" s="46" t="s">
        <v>31</v>
      </c>
      <c r="G10" s="11"/>
    </row>
    <row r="11" spans="1:7" ht="15" customHeight="1" x14ac:dyDescent="0.25">
      <c r="A11" s="11"/>
      <c r="B11" s="95" t="s">
        <v>139</v>
      </c>
      <c r="C11" s="33">
        <v>195062.9805764</v>
      </c>
      <c r="D11" s="33">
        <v>163593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5" t="s">
        <v>140</v>
      </c>
      <c r="C12" s="33">
        <v>551720.33659835998</v>
      </c>
      <c r="D12" s="33">
        <v>516592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8"/>
      <c r="D20" s="98"/>
      <c r="E20" s="98"/>
      <c r="F20" s="99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1"/>
      <c r="D22" s="101"/>
      <c r="E22" s="101"/>
      <c r="F22" s="101"/>
      <c r="G22" s="11"/>
    </row>
    <row r="23" spans="1:7" ht="15" customHeight="1" x14ac:dyDescent="0.25">
      <c r="A23" s="11"/>
      <c r="B23" s="112"/>
      <c r="C23" s="101"/>
      <c r="D23" s="101"/>
      <c r="E23" s="101"/>
      <c r="F23" s="101"/>
      <c r="G23" s="11"/>
    </row>
  </sheetData>
  <sheetProtection algorithmName="SHA-512" hashValue="1SQpMze983bkZjfrKPTqIeqD2RYKa1rSezTgPrYdjj8lBf6guz/hzhMFNy5JXi4WS9w+J1imFku1IAGpCqXwQg==" saltValue="IbppE9lIbs6xN9QCULGCE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149</v>
      </c>
      <c r="C10" s="33">
        <v>0</v>
      </c>
      <c r="D10" s="46" t="s">
        <v>31</v>
      </c>
      <c r="E10" s="33">
        <v>110304</v>
      </c>
      <c r="F10" s="46" t="s">
        <v>31</v>
      </c>
      <c r="G10" s="11"/>
    </row>
    <row r="11" spans="1:7" ht="15" customHeight="1" x14ac:dyDescent="0.25">
      <c r="A11" s="11"/>
      <c r="B11" s="116" t="s">
        <v>150</v>
      </c>
      <c r="C11" s="33">
        <v>322924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 t="s">
        <v>151</v>
      </c>
      <c r="C12" s="33">
        <v>0</v>
      </c>
      <c r="D12" s="46" t="s">
        <v>31</v>
      </c>
      <c r="E12" s="33">
        <v>4847</v>
      </c>
      <c r="F12" s="46" t="s">
        <v>31</v>
      </c>
      <c r="G12" s="11"/>
    </row>
    <row r="13" spans="1:7" ht="15" customHeight="1" x14ac:dyDescent="0.25">
      <c r="A13" s="11"/>
      <c r="B13" s="116" t="s">
        <v>152</v>
      </c>
      <c r="C13" s="33">
        <v>58670</v>
      </c>
      <c r="D13" s="46" t="s">
        <v>31</v>
      </c>
      <c r="E13" s="33">
        <v>44638</v>
      </c>
      <c r="F13" s="46" t="s">
        <v>31</v>
      </c>
      <c r="G13" s="11"/>
    </row>
    <row r="14" spans="1:7" ht="15" customHeight="1" x14ac:dyDescent="0.25">
      <c r="A14" s="11"/>
      <c r="B14" s="116" t="s">
        <v>20</v>
      </c>
      <c r="C14" s="33">
        <v>14620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8">
        <f>SUM(C10:C17)</f>
        <v>396214</v>
      </c>
      <c r="D18" s="99" t="s">
        <v>31</v>
      </c>
      <c r="E18" s="98">
        <f>SUM(E10:E17)</f>
        <v>159789</v>
      </c>
      <c r="F18" s="99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-7924.28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25743.608435999999</v>
      </c>
      <c r="D21" s="46" t="s">
        <v>31</v>
      </c>
      <c r="E21" s="33">
        <f>SUM(E18:E20)*'8. Nøgletal'!C9</f>
        <v>10594.010699999999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98">
        <f>SUM(C18:C21)</f>
        <v>414033.32843599998</v>
      </c>
      <c r="D22" s="99" t="s">
        <v>31</v>
      </c>
      <c r="E22" s="98">
        <f>SUM(E18:E21)</f>
        <v>170383.01069999998</v>
      </c>
      <c r="F22" s="99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ISSseXKRrrvXAmGlY1zsgbsczF4NAKYrUx1iMy6A7lnwmFqxRt+kQEnKX369e+LXk8Skjgo4N+rP1CPac9g2Ag==" saltValue="VmOd8/HPAOzvnupSPszgx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18</v>
      </c>
      <c r="C8" s="82"/>
      <c r="D8" s="82"/>
      <c r="E8" s="82"/>
      <c r="F8" s="83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150</v>
      </c>
      <c r="C10" s="33">
        <v>174364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6" t="s">
        <v>20</v>
      </c>
      <c r="C11" s="33">
        <v>73100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8">
        <f>SUM(C10:C12)</f>
        <v>247464</v>
      </c>
      <c r="D13" s="99" t="s">
        <v>31</v>
      </c>
      <c r="E13" s="98">
        <f>SUM(E10:E12)</f>
        <v>0</v>
      </c>
      <c r="F13" s="99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7"/>
      <c r="C15" s="117"/>
      <c r="D15" s="117"/>
      <c r="E15" s="117"/>
      <c r="F15" s="117"/>
      <c r="G15" s="11"/>
    </row>
  </sheetData>
  <sheetProtection algorithmName="SHA-512" hashValue="oRABJSNsbN/7cREr4q4z/Bf6HGvaHfV4mZd6w7r7bLXlvm4jLu7S/9pMqRBDkZ/kn/7o1GyRC/UJj5BBI08NbQ==" saltValue="dMGcR7KOfnzydJXkexCpz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1" t="s">
        <v>108</v>
      </c>
      <c r="C8" s="82"/>
      <c r="D8" s="83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8">
        <f>SUM(C9:C11)*(1+'8. Nøgletal'!C9)*(1+'8. Nøgletal'!C10)</f>
        <v>0</v>
      </c>
      <c r="D12" s="99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NxnjlbJAqhRhj8Tw61GaUKQ2sEADpb/B7ZJUQO9gwkID5w5s8hPAbymEFDHiCc0QwjmDdye+OFObOQ5wE6TKCQ==" saltValue="OvPVDNhjQw0w4BHZbj3fU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1" t="s">
        <v>57</v>
      </c>
      <c r="C8" s="82"/>
      <c r="D8" s="83"/>
      <c r="E8" s="11"/>
    </row>
    <row r="9" spans="1:5" ht="26.25" x14ac:dyDescent="0.25">
      <c r="A9" s="11"/>
      <c r="B9" s="103" t="s">
        <v>112</v>
      </c>
      <c r="C9" s="121"/>
      <c r="D9" s="103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1" t="s">
        <v>59</v>
      </c>
      <c r="C12" s="82"/>
      <c r="D12" s="83"/>
      <c r="E12" s="11"/>
    </row>
    <row r="13" spans="1:5" ht="26.25" customHeight="1" x14ac:dyDescent="0.25">
      <c r="A13" s="11"/>
      <c r="B13" s="103" t="s">
        <v>141</v>
      </c>
      <c r="C13" s="121"/>
      <c r="D13" s="103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8">
        <f>C11+C15</f>
        <v>0</v>
      </c>
      <c r="D16" s="99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3/miifbvwoeyqWQbBQgXQpHtcGqp+dYwGgeLNBPpfI5sntB1SW1jYgtf94ezXM7JHZoVEoomsf98bTSce2FRw==" saltValue="CfFZcfrhbEk6Pi21iHp1E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8">
        <f>SUM(C10:C10)</f>
        <v>0</v>
      </c>
      <c r="D11" s="98" t="s">
        <v>68</v>
      </c>
      <c r="E11" s="98">
        <f>SUM(E10:E10)</f>
        <v>0</v>
      </c>
      <c r="F11" s="98" t="s">
        <v>68</v>
      </c>
      <c r="G11" s="98">
        <f>SUM(G10:G10)</f>
        <v>0</v>
      </c>
      <c r="H11" s="99" t="s">
        <v>31</v>
      </c>
      <c r="I11" s="11"/>
    </row>
    <row r="12" spans="1:9" ht="15" customHeight="1" x14ac:dyDescent="0.25">
      <c r="A12" s="11"/>
      <c r="B12" s="25" t="s">
        <v>115</v>
      </c>
      <c r="C12" s="98">
        <f>C11*(1+'8. Nøgletal'!C9)</f>
        <v>0</v>
      </c>
      <c r="D12" s="98" t="s">
        <v>68</v>
      </c>
      <c r="E12" s="98">
        <f>E11*(1+'8. Nøgletal'!C9)</f>
        <v>0</v>
      </c>
      <c r="F12" s="98" t="s">
        <v>68</v>
      </c>
      <c r="G12" s="98">
        <f>G11*(1+'8. Nøgletal'!C9)</f>
        <v>0</v>
      </c>
      <c r="H12" s="99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a0cTD+STRlLrHDsICwFhCK3KgWxBzZAk+NYV5DZFYzma08U8MKO/kGOLVSGCgtLnfdNEQrfSmfcQcSiWMCL/Cg==" saltValue="sYbNbuzPM542G8HoseZKe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116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8">
        <f>SUM(C10:C10)</f>
        <v>0</v>
      </c>
      <c r="D11" s="99" t="s">
        <v>31</v>
      </c>
      <c r="E11" s="98">
        <f>SUM(E10:E10)</f>
        <v>0</v>
      </c>
      <c r="F11" s="99" t="s">
        <v>31</v>
      </c>
      <c r="G11" s="11"/>
    </row>
    <row r="12" spans="1:7" ht="15" customHeight="1" x14ac:dyDescent="0.25">
      <c r="A12" s="11"/>
      <c r="B12" s="25" t="s">
        <v>117</v>
      </c>
      <c r="C12" s="98">
        <f>C11*(1+'8. Nøgletal'!C9)</f>
        <v>0</v>
      </c>
      <c r="D12" s="99" t="s">
        <v>31</v>
      </c>
      <c r="E12" s="98">
        <f>E11*(1+'8. Nøgletal'!C9)</f>
        <v>0</v>
      </c>
      <c r="F12" s="99" t="s">
        <v>31</v>
      </c>
      <c r="G12" s="88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H9J9llUmpuPB2W80zmG4qOMwPYNglPblY1OMYh7edLWemG7ffUZkyoklvmrP/0wGxk0g14HdcvWAkhDW+Tc8fw==" saltValue="L6jfms52THWzaW8+tzZS1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26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4"/>
      <c r="D10" s="105" t="s">
        <v>31</v>
      </c>
      <c r="E10" s="104"/>
      <c r="F10" s="105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xHw5DbKE5I6Hqm5PbA0R84TXgF5PhZ37vps2OLWJgxAugckuP/EBAuwi9RS+tzagzHoaEV4e4KgzZTr4YFno8g==" saltValue="GeASaqJBqiAd9OqiJpKNH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0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0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2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0"/>
      <c r="C21" s="11"/>
      <c r="D21" s="11"/>
    </row>
    <row r="22" spans="1:4" ht="15" customHeight="1" x14ac:dyDescent="0.25">
      <c r="A22" s="11"/>
      <c r="B22" s="81" t="s">
        <v>35</v>
      </c>
      <c r="C22" s="83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1"/>
      <c r="C25" s="83"/>
      <c r="D25" s="11"/>
    </row>
    <row r="26" spans="1:4" ht="15" customHeight="1" x14ac:dyDescent="0.25">
      <c r="A26" s="11"/>
      <c r="B26" s="80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qctzB39YK0PkfuZ4TRjA2xqhvgXbBFJObbn/ZlMO2Bq/JEj+il+prjhX9QUa6E1a1oJwAHFeDjSbGeK8pHWJtQ==" saltValue="snVEySkt9Ms5qeOdshWXP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2026-10-01T11:25:43Z</dcterms:modified>
</cp:coreProperties>
</file>