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Vandmiljø Randers AS (S075)\ØR2027\"/>
    </mc:Choice>
  </mc:AlternateContent>
  <xr:revisionPtr revIDLastSave="0" documentId="13_ncr:1_{A8A3AFAE-7554-4540-B840-0D627B9B42D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tillæg'!$A$1:$G$34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tillæg'!$A$1:$G$34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tillæg'!$B$8:$F$32</definedName>
    <definedName name="VarigeTillæg_Tabel_KS">'5.2. Varige tillæg'!$B$30</definedName>
    <definedName name="VarigeTillæg_Tabel_SletSmå">'5.2. Varige tillæg'!$B$29:$F$29</definedName>
    <definedName name="VarigeTillæg_Tabel_Værdi">'5.2. Varige tillæg'!$B$28</definedName>
    <definedName name="VarigeTillæg_Tabel_Værdi_korr">'5.2. Varige tillæg'!$B$32</definedName>
    <definedName name="ØR_SidsteÅr_Tabel">'3. Omk. i ØR2026'!$B$8:$D$25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28" i="9"/>
  <c r="E29" i="9" s="1"/>
  <c r="C28" i="9"/>
  <c r="C3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2" i="11" l="1"/>
  <c r="C19" i="3" s="1"/>
  <c r="C12" i="3"/>
  <c r="C16" i="12"/>
  <c r="C20" i="3" s="1"/>
  <c r="C13" i="3"/>
  <c r="C10" i="7"/>
  <c r="C20" i="7" s="1"/>
  <c r="C11" i="4" s="1"/>
  <c r="C12" i="4" s="1"/>
  <c r="C15" i="4" s="1"/>
  <c r="C19" i="4" s="1"/>
  <c r="C24" i="4" s="1"/>
  <c r="C29" i="9"/>
  <c r="C31" i="9" s="1"/>
  <c r="C32" i="9" s="1"/>
  <c r="E30" i="9"/>
  <c r="E31" i="9" s="1"/>
  <c r="E3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<sst xmlns="http://schemas.openxmlformats.org/spreadsheetml/2006/main" count="372" uniqueCount="170">
  <si>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</si>
  <si>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</si>
  <si>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</si>
  <si>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</si>
  <si>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</si>
  <si>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</si>
  <si>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</si>
  <si>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</si>
  <si>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</si>
  <si>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</si>
  <si>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</si>
  <si>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</si>
  <si>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</si>
  <si>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</si>
  <si>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</si>
  <si>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</si>
  <si>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</si>
  <si>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</si>
  <si>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</si>
  <si>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</si>
  <si>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</si>
  <si>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</si>
  <si>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</si>
  <si>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</si>
  <si>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</si>
  <si>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</si>
  <si>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</si>
  <si>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</si>
  <si>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</si>
  <si>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</si>
  <si>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</si>
  <si>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</si>
  <si>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</si>
  <si>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</si>
  <si>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</si>
  <si>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</si>
  <si>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</si>
  <si>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</si>
  <si>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</si>
  <si>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</si>
  <si>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</si>
  <si>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</si>
  <si>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</si>
  <si>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</si>
  <si>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</si>
  <si>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</si>
  <si>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</si>
  <si>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</si>
  <si>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</si>
  <si>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</si>
  <si>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</si>
  <si>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</si>
  <si>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</si>
  <si>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</si>
  <si>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</si>
  <si>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</si>
  <si>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</si>
  <si>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</si>
  <si>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</si>
  <si>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</si>
  <si>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</si>
  <si>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</si>
  <si>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</si>
  <si>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</si>
  <si>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</si>
  <si>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</si>
  <si>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</si>
  <si>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</si>
  <si>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</si>
  <si>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</si>
  <si>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</si>
  <si>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</si>
  <si>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</si>
  <si>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</si>
  <si>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</si>
  <si>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</si>
  <si>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</si>
  <si>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</si>
  <si>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</si>
  <si>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</si>
  <si>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</si>
  <si>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</si>
  <si>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</si>
  <si>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</si>
  <si>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</si>
  <si>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</si>
  <si>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</si>
  <si>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</si>
  <si>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</si>
  <si>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</si>
  <si>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</si>
  <si>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</si>
  <si>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</si>
  <si>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</si>
  <si>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</si>
  <si>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</si>
  <si>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</si>
  <si>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</si>
  <si>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</si>
  <si>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</si>
  <si>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</si>
  <si>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</si>
  <si>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</si>
  <si>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</si>
  <si>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</si>
  <si>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</si>
  <si>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</si>
  <si>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</si>
  <si>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</si>
  <si>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</si>
  <si>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</si>
  <si>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</si>
  <si>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</si>
  <si>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</si>
  <si>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</si>
  <si>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</si>
  <si>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</si>
  <si>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</si>
  <si>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</si>
  <si>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</si>
  <si>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</si>
  <si>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</si>
  <si>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</si>
  <si>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</si>
  <si>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Tillæg til engangsomkostninger vedr.  anlægsprojekter igangsat senest den 1. marts 2016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</si>
  <si>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</si>
  <si>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</si>
  <si>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</si>
  <si>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</si>
  <si>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</si>
  <si>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</si>
  <si>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</si>
  <si>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</si>
  <si>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</si>
  <si>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</si>
  <si>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</si>
  <si>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</si>
  <si>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</si>
  <si>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</si>
  <si>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</si>
  <si>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</si>
  <si>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</si>
  <si>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</si>
  <si>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</si>
  <si>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</si>
  <si>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</si>
  <si>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</si>
  <si>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</si>
  <si>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</si>
  <si>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</si>
  <si>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20500202 Separatkloakering Albæk -Nedlæg. Vestrup Rense(FS)</t>
  </si>
  <si>
    <t>21200002 Klimatilpasning - Vorup Nord Klimavej</t>
  </si>
  <si>
    <t>21200011 Klimatilpasning Vorup Nord - Storkeengen</t>
  </si>
  <si>
    <t>20200276 Domicil og erhvervsklynge på ny Havn</t>
  </si>
  <si>
    <t>20200291 Hvidhvalen - 11 rækkehuse</t>
  </si>
  <si>
    <t>20200315 Juventusvej BS178 - bassin</t>
  </si>
  <si>
    <t>20200316 Udbyhøjvej 187, Droningborghallen</t>
  </si>
  <si>
    <t>20200319 Tingager 11, 8930. Stik.</t>
  </si>
  <si>
    <t>20200325 Toften 13t - Byggemodning</t>
  </si>
  <si>
    <t>20200327 Haslund Klostervej - Byggemodning 90 tilslutninger</t>
  </si>
  <si>
    <t xml:space="preserve">20200334 Dybdalvej 6, Assentoft </t>
  </si>
  <si>
    <t>20200335 Industriparken 6, Langå, Stik.</t>
  </si>
  <si>
    <t>20200337 Kirkevej 6, 8920 Rds NV</t>
  </si>
  <si>
    <t>20200338 Stikledning til Engelsholmvej 19</t>
  </si>
  <si>
    <t>20200339 Metervej 18 - Stikledning</t>
  </si>
  <si>
    <t>20200341 Knabstrupvej 1, 8960 Rds SØ</t>
  </si>
  <si>
    <t>Erstatninger</t>
  </si>
  <si>
    <t>Gebyr til Miljøstyrelsen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</si>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</sst>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a4/yeji/lH+SXg2B2OeZtwhOB7C/LcVCtwJXtthAgM9Y5k2J/uv2OJQwJVJs9COZrC2YXaYCd6kSiR6nSMvxQ==" saltValue="C7k4mvqwwT9FrOyfEQrgb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181959112.2010937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tillæg'!C32+'5.2. Varige tillæg'!E32</f>
        <v>950553.25713199994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-970710.7598561669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5258035.7907828791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187196990.4891524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187196990.4891524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jKYR/C8L8NohJNyAXl5DZJ62aF9rTCqGkrZvbG8Hjdy5dNrtpO0ppldFoBElx2en6frbQ9FrkFDJNKwfqQ6E8g==" saltValue="hBRzdup/QYiila/lffsYR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5703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129</v>
      </c>
      <c r="C9" s="45">
        <v>175746727</v>
      </c>
      <c r="D9" s="46" t="s">
        <v>31</v>
      </c>
      <c r="E9" s="11"/>
    </row>
    <row r="10" spans="1:5" ht="15" customHeight="1" x14ac:dyDescent="0.25">
      <c r="A10" s="11"/>
      <c r="B10" s="44" t="s">
        <v>131</v>
      </c>
      <c r="C10" s="45">
        <f>'3. Omk. i ØR2026'!C10</f>
        <v>3756901.3516160003</v>
      </c>
      <c r="D10" s="46" t="s">
        <v>31</v>
      </c>
      <c r="E10" s="11"/>
    </row>
    <row r="11" spans="1:5" ht="15" customHeight="1" x14ac:dyDescent="0.25">
      <c r="A11" s="11"/>
      <c r="B11" s="44" t="s">
        <v>132</v>
      </c>
      <c r="C11" s="47">
        <f>'5.1. § 10-tillæg'!C20+'5.2. Varige tillæg'!C28+'5.2. Varige tillæg'!E28+'5.3. Engangstillæg'!C13+'5.3. Engangstillæg'!E13</f>
        <v>3088427.1065407135</v>
      </c>
      <c r="D11" s="46" t="s">
        <v>31</v>
      </c>
      <c r="E11" s="11"/>
    </row>
    <row r="12" spans="1:5" ht="15" customHeight="1" x14ac:dyDescent="0.25">
      <c r="A12" s="11"/>
      <c r="B12" s="35" t="s">
        <v>130</v>
      </c>
      <c r="C12" s="36">
        <f>C9+C10+C11</f>
        <v>182592055.4581567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175076989.12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133</v>
      </c>
      <c r="C15" s="41">
        <f>C12-C13</f>
        <v>7515066.3381567001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128</v>
      </c>
      <c r="C18" s="45">
        <v>2795810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10310876.3381567</v>
      </c>
      <c r="D19" s="27" t="s">
        <v>31</v>
      </c>
      <c r="E19" s="11"/>
    </row>
    <row r="20" spans="1:5" ht="31.5" customHeight="1" x14ac:dyDescent="0.25">
      <c r="A20" s="11"/>
      <c r="B20" s="49" t="s">
        <v>168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15" customHeight="1" x14ac:dyDescent="0.25">
      <c r="A23" s="11"/>
      <c r="B23" s="52" t="s">
        <v>146</v>
      </c>
      <c r="C23" s="53">
        <f>100*2795810/(161245403+6036033)</f>
        <v>1.6713211381088335</v>
      </c>
      <c r="D23" s="46" t="s">
        <v>147</v>
      </c>
      <c r="E23" s="11"/>
    </row>
    <row r="24" spans="1:5" ht="15" customHeight="1" x14ac:dyDescent="0.25">
      <c r="A24" s="11"/>
      <c r="B24" s="52" t="s">
        <v>148</v>
      </c>
      <c r="C24" s="53">
        <f>C19/C12*100</f>
        <v>5.6469468577287412</v>
      </c>
      <c r="D24" s="46" t="s">
        <v>147</v>
      </c>
      <c r="E24" s="11"/>
    </row>
    <row r="25" spans="1:5" ht="56.25" customHeight="1" x14ac:dyDescent="0.25">
      <c r="A25" s="11"/>
      <c r="B25" s="54" t="s">
        <v>149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UHMcB0TcLgXY17QcFdUT4dRq/R20B59YhwM/PuKHdvCdeB4s2CpIQKAZCd/b6gvUOBdU1qaKxRRd407yT674tA==" saltValue="58irPqd99rRcS950FPKzX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136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173207278.77943927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3756901.3516160003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845071.16921920003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-961052.05730265426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5110912.9581218846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181959112.2010937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124</v>
      </c>
      <c r="C19" s="68">
        <v>143452.53048000002</v>
      </c>
      <c r="D19" s="73" t="s">
        <v>31</v>
      </c>
      <c r="E19" s="57"/>
    </row>
    <row r="20" spans="1:5" ht="15" customHeight="1" x14ac:dyDescent="0.25">
      <c r="A20" s="57"/>
      <c r="B20" s="75" t="s">
        <v>40</v>
      </c>
      <c r="C20" s="68">
        <v>0</v>
      </c>
      <c r="D20" s="73" t="s">
        <v>31</v>
      </c>
      <c r="E20" s="57"/>
    </row>
    <row r="21" spans="1:5" ht="15" customHeight="1" x14ac:dyDescent="0.25">
      <c r="A21" s="57"/>
      <c r="B21" s="76" t="s">
        <v>41</v>
      </c>
      <c r="C21" s="77">
        <v>0</v>
      </c>
      <c r="D21" s="78" t="s">
        <v>31</v>
      </c>
      <c r="E21" s="57"/>
    </row>
    <row r="22" spans="1:5" ht="15" customHeight="1" x14ac:dyDescent="0.25">
      <c r="A22" s="57"/>
      <c r="B22" s="62" t="s">
        <v>125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72" t="s">
        <v>42</v>
      </c>
      <c r="C23" s="68">
        <v>0</v>
      </c>
      <c r="D23" s="73" t="s">
        <v>31</v>
      </c>
      <c r="E23" s="57"/>
    </row>
    <row r="24" spans="1:5" ht="15" customHeight="1" x14ac:dyDescent="0.25">
      <c r="A24" s="57"/>
      <c r="B24" s="59" t="s">
        <v>169</v>
      </c>
      <c r="C24" s="79">
        <v>182102564.7315737</v>
      </c>
      <c r="D24" s="61" t="s">
        <v>31</v>
      </c>
      <c r="E24" s="57"/>
    </row>
    <row r="25" spans="1:5" ht="30" customHeight="1" x14ac:dyDescent="0.25">
      <c r="A25" s="57"/>
      <c r="B25" s="80" t="s">
        <v>137</v>
      </c>
      <c r="C25" s="80"/>
      <c r="D25" s="80"/>
      <c r="E25" s="57"/>
    </row>
    <row r="26" spans="1:5" ht="15" customHeight="1" x14ac:dyDescent="0.25">
      <c r="A26" s="57"/>
      <c r="B26" s="57"/>
      <c r="C26" s="57"/>
      <c r="D26" s="57"/>
      <c r="E26" s="57"/>
    </row>
  </sheetData>
  <sheetProtection algorithmName="SHA-512" hashValue="VuJh70Ur4d5pnTTtXSb+CDg8J7uhzJJfQawXl2m2/BQZppE9S6mVZ4Ec3RhuPFTZzo4x10u/l984xSdsdHBxFQ==" saltValue="c9Ckcs5VYdnS9qgQtc8T7g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1"/>
      <c r="C1" s="81"/>
      <c r="D1" s="81"/>
      <c r="E1" s="11"/>
    </row>
    <row r="2" spans="1:5" ht="15" customHeight="1" x14ac:dyDescent="0.25">
      <c r="A2" s="11"/>
      <c r="B2" s="81"/>
      <c r="C2" s="81"/>
      <c r="D2" s="81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2"/>
      <c r="C6" s="82"/>
      <c r="D6" s="82"/>
      <c r="E6" s="11"/>
    </row>
    <row r="7" spans="1:5" ht="15" customHeight="1" x14ac:dyDescent="0.25">
      <c r="A7" s="11"/>
      <c r="B7" s="83"/>
      <c r="C7" s="11"/>
      <c r="D7" s="11"/>
      <c r="E7" s="11"/>
    </row>
    <row r="8" spans="1:5" ht="14.25" customHeight="1" x14ac:dyDescent="0.25">
      <c r="A8" s="11"/>
      <c r="B8" s="84" t="s">
        <v>88</v>
      </c>
      <c r="C8" s="85"/>
      <c r="D8" s="86"/>
      <c r="E8" s="11"/>
    </row>
    <row r="9" spans="1:5" ht="15" customHeight="1" x14ac:dyDescent="0.25">
      <c r="A9" s="11"/>
      <c r="B9" s="52" t="s">
        <v>89</v>
      </c>
      <c r="C9" s="2">
        <v>49441323.087935045</v>
      </c>
      <c r="D9" s="46" t="s">
        <v>31</v>
      </c>
      <c r="E9" s="11"/>
    </row>
    <row r="10" spans="1:5" ht="15" customHeight="1" x14ac:dyDescent="0.25">
      <c r="A10" s="11"/>
      <c r="B10" s="87" t="s">
        <v>90</v>
      </c>
      <c r="C10" s="3">
        <f>-'8. Nøgletal'!C19*C9</f>
        <v>-988826.4617587009</v>
      </c>
      <c r="D10" s="46" t="s">
        <v>31</v>
      </c>
      <c r="E10" s="11"/>
    </row>
    <row r="11" spans="1:5" ht="15" customHeight="1" x14ac:dyDescent="0.25">
      <c r="A11" s="11"/>
      <c r="B11" s="87" t="s">
        <v>91</v>
      </c>
      <c r="C11" s="2">
        <f>('5.2. Varige tillæg'!C28)*(1+'8. Nøgletal'!C9)*(1-'8. Nøgletal'!C19)+'5.6 Anlægsprojekter'!C12-'6. Bortfald'!C12+'7. Tilknyttet virksomhed'!C12</f>
        <v>83041.36663199999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48535537.992808342</v>
      </c>
      <c r="D12" s="46" t="s">
        <v>31</v>
      </c>
      <c r="E12" s="11"/>
    </row>
    <row r="13" spans="1:5" ht="15" customHeight="1" x14ac:dyDescent="0.25">
      <c r="A13" s="11"/>
      <c r="B13" s="88" t="s">
        <v>93</v>
      </c>
      <c r="C13" s="89">
        <f>-C12*'8. Nøgletal'!C19</f>
        <v>-970710.7598561669</v>
      </c>
      <c r="D13" s="90" t="s">
        <v>31</v>
      </c>
      <c r="E13" s="91"/>
    </row>
    <row r="14" spans="1:5" ht="15" customHeight="1" x14ac:dyDescent="0.25">
      <c r="A14" s="11"/>
      <c r="B14" s="84" t="s">
        <v>94</v>
      </c>
      <c r="C14" s="85"/>
      <c r="D14" s="86"/>
      <c r="E14" s="11"/>
    </row>
    <row r="15" spans="1:5" ht="15" customHeight="1" x14ac:dyDescent="0.25">
      <c r="A15" s="11"/>
      <c r="B15" s="44" t="s">
        <v>46</v>
      </c>
      <c r="C15" s="3">
        <v>136602985.90885854</v>
      </c>
      <c r="D15" s="46" t="s">
        <v>31</v>
      </c>
      <c r="E15" s="11"/>
    </row>
    <row r="16" spans="1:5" ht="15" customHeight="1" x14ac:dyDescent="0.25">
      <c r="A16" s="11"/>
      <c r="B16" s="87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7" t="s">
        <v>95</v>
      </c>
      <c r="C17" s="2">
        <f>('5.2. Varige tillæg'!E28)*(1+'8. Nøgletal'!C9)*(1-'8. Nøgletal'!C14)+'5.6 Anlægsprojekter'!E12-'6. Bortfald'!E12+'7. Tilknyttet virksomhed'!E12</f>
        <v>867511.89049999998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137470497.79935855</v>
      </c>
      <c r="D18" s="46" t="s">
        <v>31</v>
      </c>
      <c r="E18" s="11"/>
    </row>
    <row r="19" spans="1:5" ht="15" customHeight="1" x14ac:dyDescent="0.25">
      <c r="A19" s="11"/>
      <c r="B19" s="88" t="s">
        <v>97</v>
      </c>
      <c r="C19" s="89">
        <f>-C18*'8. Nøgletal'!C15</f>
        <v>0</v>
      </c>
      <c r="D19" s="90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-970710.7598561669</v>
      </c>
      <c r="D20" s="27" t="s">
        <v>31</v>
      </c>
      <c r="E20" s="11"/>
    </row>
    <row r="21" spans="1:5" ht="39.950000000000003" customHeight="1" x14ac:dyDescent="0.25">
      <c r="A21" s="11"/>
      <c r="B21" s="92" t="s">
        <v>126</v>
      </c>
      <c r="C21" s="93"/>
      <c r="D21" s="94"/>
      <c r="E21" s="91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hNwrLgbGS5DJ+9tAP0TttsWFBEC/u3MZKBsx5nJtL1jDGvrtmEJPvDhNK6fF33AeoxkzjZrXfkI3ZYJpROzjwA==" saltValue="HfGFdzxtx5jnMYyoDLSCr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5" t="s">
        <v>99</v>
      </c>
      <c r="C8" s="96"/>
      <c r="D8" s="97"/>
      <c r="E8" s="11"/>
    </row>
    <row r="9" spans="1:5" ht="15" customHeight="1" x14ac:dyDescent="0.25">
      <c r="A9" s="11"/>
      <c r="B9" s="98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8" t="s">
        <v>139</v>
      </c>
      <c r="C10" s="33">
        <f>'5.1.a. § 10-tillæg'!E10</f>
        <v>10372.387640713714</v>
      </c>
      <c r="D10" s="46" t="s">
        <v>31</v>
      </c>
      <c r="E10" s="11"/>
    </row>
    <row r="11" spans="1:5" ht="15" customHeight="1" x14ac:dyDescent="0.25">
      <c r="A11" s="11"/>
      <c r="B11" s="98" t="s">
        <v>140</v>
      </c>
      <c r="C11" s="33">
        <f>'5.1.a. § 10-tillæg'!E11</f>
        <v>26569.218900000007</v>
      </c>
      <c r="D11" s="46" t="s">
        <v>31</v>
      </c>
      <c r="E11" s="11"/>
    </row>
    <row r="12" spans="1:5" ht="15" customHeight="1" x14ac:dyDescent="0.25">
      <c r="A12" s="11"/>
      <c r="B12" s="98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9" t="s">
        <v>142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9" t="s">
        <v>166</v>
      </c>
      <c r="C14" s="100">
        <v>858168.58</v>
      </c>
      <c r="D14" s="46" t="s">
        <v>31</v>
      </c>
      <c r="E14" s="11"/>
    </row>
    <row r="15" spans="1:5" ht="15" customHeight="1" x14ac:dyDescent="0.25">
      <c r="A15" s="11"/>
      <c r="B15" s="99" t="s">
        <v>167</v>
      </c>
      <c r="C15" s="100">
        <v>101654.92</v>
      </c>
      <c r="D15" s="46" t="s">
        <v>31</v>
      </c>
      <c r="E15" s="11"/>
    </row>
    <row r="16" spans="1:5" ht="15" customHeight="1" x14ac:dyDescent="0.25">
      <c r="A16" s="11"/>
      <c r="B16" s="99"/>
      <c r="C16" s="100"/>
      <c r="D16" s="46" t="s">
        <v>31</v>
      </c>
      <c r="E16" s="11"/>
    </row>
    <row r="17" spans="1:5" ht="15" customHeight="1" x14ac:dyDescent="0.25">
      <c r="A17" s="11"/>
      <c r="B17" s="99"/>
      <c r="C17" s="100"/>
      <c r="D17" s="46" t="s">
        <v>31</v>
      </c>
      <c r="E17" s="11"/>
    </row>
    <row r="18" spans="1:5" ht="15" customHeight="1" x14ac:dyDescent="0.25">
      <c r="A18" s="11"/>
      <c r="B18" s="99"/>
      <c r="C18" s="100"/>
      <c r="D18" s="46" t="s">
        <v>31</v>
      </c>
      <c r="E18" s="11"/>
    </row>
    <row r="19" spans="1:5" ht="15" customHeight="1" x14ac:dyDescent="0.25">
      <c r="A19" s="11"/>
      <c r="B19" s="99"/>
      <c r="C19" s="100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1">
        <f>SUM(C9:C19)</f>
        <v>996765.10654071369</v>
      </c>
      <c r="D20" s="102" t="s">
        <v>31</v>
      </c>
      <c r="E20" s="11"/>
    </row>
    <row r="21" spans="1:5" ht="15" customHeight="1" x14ac:dyDescent="0.25">
      <c r="A21" s="11"/>
      <c r="B21" s="103"/>
      <c r="C21" s="104"/>
      <c r="D21" s="104"/>
      <c r="E21" s="11"/>
    </row>
    <row r="22" spans="1:5" ht="15" customHeight="1" x14ac:dyDescent="0.25">
      <c r="A22" s="11"/>
      <c r="B22" s="84" t="s">
        <v>39</v>
      </c>
      <c r="C22" s="85"/>
      <c r="D22" s="86"/>
      <c r="E22" s="11"/>
    </row>
    <row r="23" spans="1:5" ht="15" customHeight="1" x14ac:dyDescent="0.25">
      <c r="A23" s="11"/>
      <c r="B23" s="105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5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1">
        <f>SUM(C23:C24)</f>
        <v>0</v>
      </c>
      <c r="D25" s="102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tIdCpxdFpER7BS6CHccjR9cP7UAUaHwIHyZHu6baVC09ISwzycrvdWmn1Qht4KyF53lfexTuKMN0+Jlb7tuzzw==" saltValue="eJN+T4AfFEHviLtxoFuqt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127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8" t="s">
        <v>138</v>
      </c>
      <c r="C9" s="33">
        <v>4522075.1762076598</v>
      </c>
      <c r="D9" s="33">
        <v>3097170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8" t="s">
        <v>139</v>
      </c>
      <c r="C10" s="33">
        <v>155547.0023592863</v>
      </c>
      <c r="D10" s="33">
        <v>165919.39000000001</v>
      </c>
      <c r="E10" s="33">
        <f t="shared" ref="E10:E19" si="0">MAX(D10-C10,0)</f>
        <v>10372.387640713714</v>
      </c>
      <c r="F10" s="46" t="s">
        <v>31</v>
      </c>
      <c r="G10" s="11"/>
    </row>
    <row r="11" spans="1:7" ht="42.75" customHeight="1" x14ac:dyDescent="0.25">
      <c r="A11" s="11"/>
      <c r="B11" s="98" t="s">
        <v>140</v>
      </c>
      <c r="C11" s="33">
        <v>216029.18109999999</v>
      </c>
      <c r="D11" s="33">
        <v>242598.39999999999</v>
      </c>
      <c r="E11" s="33">
        <f t="shared" si="0"/>
        <v>26569.218900000007</v>
      </c>
      <c r="F11" s="46" t="s">
        <v>31</v>
      </c>
      <c r="G11" s="11"/>
    </row>
    <row r="12" spans="1:7" ht="15" customHeight="1" x14ac:dyDescent="0.25">
      <c r="A12" s="11"/>
      <c r="B12" s="98" t="s">
        <v>141</v>
      </c>
      <c r="C12" s="33">
        <v>823165.72118262353</v>
      </c>
      <c r="D12" s="33">
        <v>732321.95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9" t="s">
        <v>142</v>
      </c>
      <c r="C13" s="33">
        <v>17615.872173661501</v>
      </c>
      <c r="D13" s="33">
        <v>16518.82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1"/>
      <c r="D20" s="101"/>
      <c r="E20" s="101"/>
      <c r="F20" s="102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9"/>
      <c r="C22" s="104"/>
      <c r="D22" s="104"/>
      <c r="E22" s="104"/>
      <c r="F22" s="104"/>
      <c r="G22" s="11"/>
    </row>
    <row r="23" spans="1:7" ht="15" customHeight="1" x14ac:dyDescent="0.25">
      <c r="A23" s="11"/>
      <c r="B23" s="109"/>
      <c r="C23" s="104"/>
      <c r="D23" s="104"/>
      <c r="E23" s="104"/>
      <c r="F23" s="104"/>
      <c r="G23" s="11"/>
    </row>
  </sheetData>
  <sheetProtection algorithmName="SHA-512" hashValue="EsUaXJ5nvo8kw+C1EEKsRyQ2HsRlWXxiNT20sP56CkqKQbh9O1m9a2f1AuCYK/cWf62iJTU3bET0eXVd0eZv9Q==" saltValue="i4Xm4MtBLe5M8zkd9NFQy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3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150</v>
      </c>
      <c r="C10" s="33">
        <v>0</v>
      </c>
      <c r="D10" s="46" t="s">
        <v>31</v>
      </c>
      <c r="E10" s="33">
        <v>137055</v>
      </c>
      <c r="F10" s="46" t="s">
        <v>31</v>
      </c>
      <c r="G10" s="11"/>
    </row>
    <row r="11" spans="1:7" ht="15" customHeight="1" x14ac:dyDescent="0.25">
      <c r="A11" s="11"/>
      <c r="B11" s="113" t="s">
        <v>151</v>
      </c>
      <c r="C11" s="33">
        <v>0</v>
      </c>
      <c r="D11" s="46" t="s">
        <v>31</v>
      </c>
      <c r="E11" s="33">
        <v>188589</v>
      </c>
      <c r="F11" s="46" t="s">
        <v>31</v>
      </c>
      <c r="G11" s="11"/>
    </row>
    <row r="12" spans="1:7" ht="15" customHeight="1" x14ac:dyDescent="0.25">
      <c r="A12" s="11"/>
      <c r="B12" s="113" t="s">
        <v>152</v>
      </c>
      <c r="C12" s="33">
        <v>0</v>
      </c>
      <c r="D12" s="46" t="s">
        <v>31</v>
      </c>
      <c r="E12" s="33">
        <v>219522</v>
      </c>
      <c r="F12" s="46" t="s">
        <v>31</v>
      </c>
      <c r="G12" s="11"/>
    </row>
    <row r="13" spans="1:7" ht="15" customHeight="1" x14ac:dyDescent="0.25">
      <c r="A13" s="11"/>
      <c r="B13" s="113" t="s">
        <v>153</v>
      </c>
      <c r="C13" s="33">
        <v>423</v>
      </c>
      <c r="D13" s="46" t="s">
        <v>31</v>
      </c>
      <c r="E13" s="33">
        <v>53822</v>
      </c>
      <c r="F13" s="46" t="s">
        <v>31</v>
      </c>
      <c r="G13" s="11"/>
    </row>
    <row r="14" spans="1:7" ht="15" customHeight="1" x14ac:dyDescent="0.25">
      <c r="A14" s="11"/>
      <c r="B14" s="113" t="s">
        <v>154</v>
      </c>
      <c r="C14" s="33">
        <v>532</v>
      </c>
      <c r="D14" s="46" t="s">
        <v>31</v>
      </c>
      <c r="E14" s="33">
        <v>11872</v>
      </c>
      <c r="F14" s="46" t="s">
        <v>31</v>
      </c>
      <c r="G14" s="11"/>
    </row>
    <row r="15" spans="1:7" ht="15" customHeight="1" x14ac:dyDescent="0.25">
      <c r="A15" s="11"/>
      <c r="B15" s="113" t="s">
        <v>155</v>
      </c>
      <c r="C15" s="33">
        <v>9403</v>
      </c>
      <c r="D15" s="46" t="s">
        <v>31</v>
      </c>
      <c r="E15" s="33">
        <v>41018</v>
      </c>
      <c r="F15" s="46" t="s">
        <v>31</v>
      </c>
      <c r="G15" s="11"/>
    </row>
    <row r="16" spans="1:7" ht="15" customHeight="1" x14ac:dyDescent="0.25">
      <c r="A16" s="11"/>
      <c r="B16" s="113" t="s">
        <v>156</v>
      </c>
      <c r="C16" s="33">
        <v>5020</v>
      </c>
      <c r="D16" s="46" t="s">
        <v>31</v>
      </c>
      <c r="E16" s="33">
        <v>34509</v>
      </c>
      <c r="F16" s="46" t="s">
        <v>31</v>
      </c>
      <c r="G16" s="11"/>
    </row>
    <row r="17" spans="1:7" ht="15" customHeight="1" x14ac:dyDescent="0.25">
      <c r="A17" s="11"/>
      <c r="B17" s="113" t="s">
        <v>157</v>
      </c>
      <c r="C17" s="33">
        <v>491</v>
      </c>
      <c r="D17" s="46" t="s">
        <v>31</v>
      </c>
      <c r="E17" s="33">
        <v>4476</v>
      </c>
      <c r="F17" s="46" t="s">
        <v>31</v>
      </c>
      <c r="G17" s="11"/>
    </row>
    <row r="18" spans="1:7" ht="15" customHeight="1" x14ac:dyDescent="0.25">
      <c r="A18" s="11"/>
      <c r="B18" s="113" t="s">
        <v>158</v>
      </c>
      <c r="C18" s="33">
        <v>849</v>
      </c>
      <c r="D18" s="46" t="s">
        <v>31</v>
      </c>
      <c r="E18" s="33">
        <v>11545</v>
      </c>
      <c r="F18" s="46" t="s">
        <v>31</v>
      </c>
      <c r="G18" s="11"/>
    </row>
    <row r="19" spans="1:7" ht="15" customHeight="1" x14ac:dyDescent="0.25">
      <c r="A19" s="11"/>
      <c r="B19" s="113" t="s">
        <v>159</v>
      </c>
      <c r="C19" s="33">
        <v>4162</v>
      </c>
      <c r="D19" s="46" t="s">
        <v>31</v>
      </c>
      <c r="E19" s="33">
        <v>108626</v>
      </c>
      <c r="F19" s="46" t="s">
        <v>31</v>
      </c>
      <c r="G19" s="11"/>
    </row>
    <row r="20" spans="1:7" ht="15" customHeight="1" x14ac:dyDescent="0.25">
      <c r="A20" s="11"/>
      <c r="B20" s="113" t="s">
        <v>160</v>
      </c>
      <c r="C20" s="33">
        <v>1172</v>
      </c>
      <c r="D20" s="46" t="s">
        <v>31</v>
      </c>
      <c r="E20" s="33">
        <v>9570</v>
      </c>
      <c r="F20" s="46" t="s">
        <v>31</v>
      </c>
      <c r="G20" s="11"/>
    </row>
    <row r="21" spans="1:7" ht="15" customHeight="1" x14ac:dyDescent="0.25">
      <c r="A21" s="11"/>
      <c r="B21" s="113" t="s">
        <v>161</v>
      </c>
      <c r="C21" s="33">
        <v>8</v>
      </c>
      <c r="D21" s="46" t="s">
        <v>31</v>
      </c>
      <c r="E21" s="33">
        <v>1147</v>
      </c>
      <c r="F21" s="46" t="s">
        <v>31</v>
      </c>
      <c r="G21" s="11"/>
    </row>
    <row r="22" spans="1:7" ht="15" customHeight="1" x14ac:dyDescent="0.25">
      <c r="A22" s="11"/>
      <c r="B22" s="113" t="s">
        <v>162</v>
      </c>
      <c r="C22" s="33">
        <v>1216</v>
      </c>
      <c r="D22" s="46" t="s">
        <v>31</v>
      </c>
      <c r="E22" s="33">
        <v>10316</v>
      </c>
      <c r="F22" s="46" t="s">
        <v>31</v>
      </c>
      <c r="G22" s="11"/>
    </row>
    <row r="23" spans="1:7" ht="15" customHeight="1" x14ac:dyDescent="0.25">
      <c r="A23" s="11"/>
      <c r="B23" s="113" t="s">
        <v>163</v>
      </c>
      <c r="C23" s="33">
        <v>232</v>
      </c>
      <c r="D23" s="46" t="s">
        <v>31</v>
      </c>
      <c r="E23" s="33">
        <v>3188</v>
      </c>
      <c r="F23" s="46" t="s">
        <v>31</v>
      </c>
      <c r="G23" s="11"/>
    </row>
    <row r="24" spans="1:7" ht="15" customHeight="1" x14ac:dyDescent="0.25">
      <c r="A24" s="11"/>
      <c r="B24" s="113" t="s">
        <v>164</v>
      </c>
      <c r="C24" s="33">
        <v>65</v>
      </c>
      <c r="D24" s="46" t="s">
        <v>31</v>
      </c>
      <c r="E24" s="33">
        <v>1845</v>
      </c>
      <c r="F24" s="46" t="s">
        <v>31</v>
      </c>
      <c r="G24" s="11"/>
    </row>
    <row r="25" spans="1:7" ht="15" customHeight="1" x14ac:dyDescent="0.25">
      <c r="A25" s="11"/>
      <c r="B25" s="113" t="s">
        <v>165</v>
      </c>
      <c r="C25" s="33">
        <v>475</v>
      </c>
      <c r="D25" s="46" t="s">
        <v>31</v>
      </c>
      <c r="E25" s="33">
        <v>6045</v>
      </c>
      <c r="F25" s="46" t="s">
        <v>31</v>
      </c>
      <c r="G25" s="11"/>
    </row>
    <row r="26" spans="1:7" ht="15" customHeight="1" x14ac:dyDescent="0.25">
      <c r="A26" s="11"/>
      <c r="B26" s="113" t="s">
        <v>20</v>
      </c>
      <c r="C26" s="33">
        <v>58308</v>
      </c>
      <c r="D26" s="46" t="s">
        <v>31</v>
      </c>
      <c r="E26" s="33"/>
      <c r="F26" s="46" t="s">
        <v>31</v>
      </c>
      <c r="G26" s="11"/>
    </row>
    <row r="27" spans="1:7" ht="15" customHeight="1" x14ac:dyDescent="0.25">
      <c r="A27" s="11"/>
      <c r="B27" s="113"/>
      <c r="C27" s="33"/>
      <c r="D27" s="46" t="s">
        <v>31</v>
      </c>
      <c r="E27" s="33"/>
      <c r="F27" s="46" t="s">
        <v>31</v>
      </c>
      <c r="G27" s="11"/>
    </row>
    <row r="28" spans="1:7" ht="15" customHeight="1" x14ac:dyDescent="0.25">
      <c r="A28" s="11"/>
      <c r="B28" s="25" t="s">
        <v>105</v>
      </c>
      <c r="C28" s="101">
        <f>SUM(C10:C27)</f>
        <v>82356</v>
      </c>
      <c r="D28" s="102" t="s">
        <v>31</v>
      </c>
      <c r="E28" s="101">
        <f>SUM(E10:E27)</f>
        <v>843145</v>
      </c>
      <c r="F28" s="102" t="s">
        <v>31</v>
      </c>
      <c r="G28" s="11"/>
    </row>
    <row r="29" spans="1:7" ht="15" customHeight="1" x14ac:dyDescent="0.25">
      <c r="A29" s="11"/>
      <c r="B29" s="113" t="s">
        <v>35</v>
      </c>
      <c r="C29" s="33">
        <f>-C28*'8. Nøgletal'!C23</f>
        <v>0</v>
      </c>
      <c r="D29" s="46" t="s">
        <v>31</v>
      </c>
      <c r="E29" s="33">
        <f>-E28*'8. Nøgletal'!C23</f>
        <v>0</v>
      </c>
      <c r="F29" s="46" t="s">
        <v>31</v>
      </c>
      <c r="G29" s="11"/>
    </row>
    <row r="30" spans="1:7" ht="15" customHeight="1" x14ac:dyDescent="0.25">
      <c r="A30" s="11"/>
      <c r="B30" s="113" t="s">
        <v>36</v>
      </c>
      <c r="C30" s="33">
        <f>-C28*'8. Nøgletal'!C19</f>
        <v>-1647.1200000000001</v>
      </c>
      <c r="D30" s="46" t="s">
        <v>31</v>
      </c>
      <c r="E30" s="33">
        <f>-E28*'8. Nøgletal'!C14</f>
        <v>0</v>
      </c>
      <c r="F30" s="46" t="s">
        <v>31</v>
      </c>
      <c r="G30" s="11"/>
    </row>
    <row r="31" spans="1:7" ht="15" customHeight="1" x14ac:dyDescent="0.25">
      <c r="A31" s="11"/>
      <c r="B31" s="113" t="s">
        <v>37</v>
      </c>
      <c r="C31" s="33">
        <f>SUM(C28:C30)*'8. Nøgletal'!C9</f>
        <v>2332.4866320000001</v>
      </c>
      <c r="D31" s="46" t="s">
        <v>31</v>
      </c>
      <c r="E31" s="33">
        <f>SUM(E28:E30)*'8. Nøgletal'!C9</f>
        <v>24366.890499999998</v>
      </c>
      <c r="F31" s="46" t="s">
        <v>31</v>
      </c>
      <c r="G31" s="11"/>
    </row>
    <row r="32" spans="1:7" ht="26.25" customHeight="1" x14ac:dyDescent="0.25">
      <c r="A32" s="11"/>
      <c r="B32" s="106" t="s">
        <v>106</v>
      </c>
      <c r="C32" s="101">
        <f>SUM(C28:C31)</f>
        <v>83041.366632000005</v>
      </c>
      <c r="D32" s="102" t="s">
        <v>31</v>
      </c>
      <c r="E32" s="101">
        <f>SUM(E28:E31)</f>
        <v>867511.89049999998</v>
      </c>
      <c r="F32" s="102" t="s">
        <v>31</v>
      </c>
      <c r="G32" s="11"/>
    </row>
    <row r="33" spans="1:7" ht="15" customHeight="1" x14ac:dyDescent="0.25">
      <c r="A33" s="11"/>
      <c r="B33" s="11"/>
      <c r="C33" s="11"/>
      <c r="D33" s="11"/>
      <c r="E33" s="11"/>
      <c r="F33" s="11"/>
      <c r="G33" s="11"/>
    </row>
    <row r="34" spans="1:7" ht="15" customHeight="1" x14ac:dyDescent="0.25">
      <c r="A34" s="11"/>
      <c r="B34" s="11"/>
      <c r="C34" s="11"/>
      <c r="D34" s="11"/>
      <c r="E34" s="11"/>
      <c r="F34" s="11"/>
      <c r="G34" s="11"/>
    </row>
  </sheetData>
  <sheetProtection algorithmName="SHA-512" hashValue="Ezu5IyneWSQPFoUV/PhHFaPcdyiayU2VjmGNXGgmVZdKjaZusrVj3AJhsksB9lHlODq4yqA/4e1p5bYJsV8aXw==" saltValue="TChRWMM6H6ms0cZQ3JGQk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18</v>
      </c>
      <c r="C8" s="85"/>
      <c r="D8" s="85"/>
      <c r="E8" s="85"/>
      <c r="F8" s="86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20</v>
      </c>
      <c r="C10" s="33">
        <v>1166161</v>
      </c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3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3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1">
        <f>SUM(C10:C12)</f>
        <v>1166161</v>
      </c>
      <c r="D13" s="102" t="s">
        <v>31</v>
      </c>
      <c r="E13" s="101">
        <f>SUM(E10:E12)</f>
        <v>0</v>
      </c>
      <c r="F13" s="102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4"/>
      <c r="C15" s="114"/>
      <c r="D15" s="114"/>
      <c r="E15" s="114"/>
      <c r="F15" s="114"/>
      <c r="G15" s="11"/>
    </row>
  </sheetData>
  <sheetProtection algorithmName="SHA-512" hashValue="yQ5al4ZGCHVVq5BLa7vyQc41JDC0MaUYDYpuzkoxHm1uMyTOT4gCykbmrHTeRfrRjhGsIDu1xQfSMzjj9T4RSQ==" saltValue="bbrBfG13JkXhYHsExaH59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4" t="s">
        <v>108</v>
      </c>
      <c r="C8" s="85"/>
      <c r="D8" s="86"/>
      <c r="E8" s="11"/>
    </row>
    <row r="9" spans="1:5" ht="15" customHeight="1" x14ac:dyDescent="0.25">
      <c r="A9" s="11"/>
      <c r="B9" s="115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6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6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7" t="s">
        <v>110</v>
      </c>
      <c r="C12" s="101">
        <f>SUM(C9:C11)*(1+'8. Nøgletal'!C9)*(1+'8. Nøgletal'!C10)</f>
        <v>0</v>
      </c>
      <c r="D12" s="102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zlCMic831JmwASFDSVW8ImqNNgV2z8Q2KdLcWsowmgp2WQAddwp3w1HWkVVz4um60w5XWAogU1vzZmNu1BCDJg==" saltValue="Qgo1OJiOByvnBuhYpHF7r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4" t="s">
        <v>57</v>
      </c>
      <c r="C8" s="85"/>
      <c r="D8" s="86"/>
      <c r="E8" s="11"/>
    </row>
    <row r="9" spans="1:5" ht="26.25" x14ac:dyDescent="0.25">
      <c r="A9" s="11"/>
      <c r="B9" s="118" t="s">
        <v>112</v>
      </c>
      <c r="C9" s="119"/>
      <c r="D9" s="118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4" t="s">
        <v>59</v>
      </c>
      <c r="C12" s="85"/>
      <c r="D12" s="86"/>
      <c r="E12" s="11"/>
    </row>
    <row r="13" spans="1:5" ht="26.25" customHeight="1" x14ac:dyDescent="0.25">
      <c r="A13" s="11"/>
      <c r="B13" s="118" t="s">
        <v>143</v>
      </c>
      <c r="C13" s="119"/>
      <c r="D13" s="118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1">
        <f>C11+C15</f>
        <v>0</v>
      </c>
      <c r="D16" s="102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KPnp1/16h6h1S+YhJfm7Bof/WcquXyJELDynWl1Sahl4yFmquu+LWCcYKVgVysWbi2qgoIGNvQO7sfuFX/H9cA==" saltValue="C02rxqTR0BRP8vGWKemAA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0" t="s">
        <v>63</v>
      </c>
      <c r="C9" s="121" t="s">
        <v>65</v>
      </c>
      <c r="D9" s="122"/>
      <c r="E9" s="121" t="s">
        <v>64</v>
      </c>
      <c r="F9" s="122"/>
      <c r="G9" s="121" t="s">
        <v>66</v>
      </c>
      <c r="H9" s="122"/>
      <c r="I9" s="11"/>
    </row>
    <row r="10" spans="1:9" ht="15" customHeight="1" x14ac:dyDescent="0.25">
      <c r="A10" s="11"/>
      <c r="B10" s="115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1">
        <f>SUM(C10:C10)</f>
        <v>0</v>
      </c>
      <c r="D11" s="101" t="s">
        <v>68</v>
      </c>
      <c r="E11" s="101">
        <f>SUM(E10:E10)</f>
        <v>0</v>
      </c>
      <c r="F11" s="101" t="s">
        <v>68</v>
      </c>
      <c r="G11" s="101">
        <f>SUM(G10:G10)</f>
        <v>0</v>
      </c>
      <c r="H11" s="102" t="s">
        <v>31</v>
      </c>
      <c r="I11" s="11"/>
    </row>
    <row r="12" spans="1:9" ht="15" customHeight="1" x14ac:dyDescent="0.25">
      <c r="A12" s="11"/>
      <c r="B12" s="25" t="s">
        <v>115</v>
      </c>
      <c r="C12" s="101">
        <f>C11*(1+'8. Nøgletal'!C9)</f>
        <v>0</v>
      </c>
      <c r="D12" s="101" t="s">
        <v>68</v>
      </c>
      <c r="E12" s="101">
        <f>E11*(1+'8. Nøgletal'!C9)</f>
        <v>0</v>
      </c>
      <c r="F12" s="101" t="s">
        <v>68</v>
      </c>
      <c r="G12" s="101">
        <f>G11*(1+'8. Nøgletal'!C9)</f>
        <v>0</v>
      </c>
      <c r="H12" s="102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JsGDkXGhKHgYw3krdcEHtJHFt1KYhtzjhwT0ISV39putPaiqWbnaXotuEjbBKa2zsDCgOa0PzCYWD0DaMBhg4A==" saltValue="bQvaEwJ9D8zFOSTa3kfIH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116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71</v>
      </c>
      <c r="C9" s="124" t="s">
        <v>53</v>
      </c>
      <c r="D9" s="125"/>
      <c r="E9" s="124" t="s">
        <v>54</v>
      </c>
      <c r="F9" s="125"/>
      <c r="G9" s="11"/>
    </row>
    <row r="10" spans="1:7" ht="15" customHeight="1" x14ac:dyDescent="0.25">
      <c r="A10" s="11"/>
      <c r="B10" s="126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1">
        <f>SUM(C10:C10)</f>
        <v>0</v>
      </c>
      <c r="D11" s="102" t="s">
        <v>31</v>
      </c>
      <c r="E11" s="101">
        <f>SUM(E10:E10)</f>
        <v>0</v>
      </c>
      <c r="F11" s="102" t="s">
        <v>31</v>
      </c>
      <c r="G11" s="11"/>
    </row>
    <row r="12" spans="1:7" ht="15" customHeight="1" x14ac:dyDescent="0.25">
      <c r="A12" s="11"/>
      <c r="B12" s="25" t="s">
        <v>117</v>
      </c>
      <c r="C12" s="101">
        <f>C11*(1+'8. Nøgletal'!C9)</f>
        <v>0</v>
      </c>
      <c r="D12" s="102" t="s">
        <v>31</v>
      </c>
      <c r="E12" s="101">
        <f>E11*(1+'8. Nøgletal'!C9)</f>
        <v>0</v>
      </c>
      <c r="F12" s="102" t="s">
        <v>31</v>
      </c>
      <c r="G12" s="9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4"/>
      <c r="C14" s="114"/>
      <c r="D14" s="114"/>
      <c r="E14" s="114"/>
      <c r="F14" s="114"/>
      <c r="G14" s="11"/>
    </row>
  </sheetData>
  <sheetProtection algorithmName="SHA-512" hashValue="pdJSBNdSBswD9q8K6aEISZ2WT9JnOO9UmQFh5jtxdnuy8nJXx7ZkclqgqYS216rRVu3n27AKOOk1rTJdjngmfg==" saltValue="Lkdj0chT5iXz229Vf9sPG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26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75</v>
      </c>
      <c r="C9" s="127" t="s">
        <v>53</v>
      </c>
      <c r="D9" s="112"/>
      <c r="E9" s="127" t="s">
        <v>54</v>
      </c>
      <c r="F9" s="112"/>
      <c r="G9" s="11"/>
    </row>
    <row r="10" spans="1:7" ht="26.25" customHeight="1" x14ac:dyDescent="0.25">
      <c r="A10" s="11"/>
      <c r="B10" s="128" t="s">
        <v>134</v>
      </c>
      <c r="C10" s="129"/>
      <c r="D10" s="130" t="s">
        <v>31</v>
      </c>
      <c r="E10" s="129"/>
      <c r="F10" s="130" t="s">
        <v>31</v>
      </c>
      <c r="G10" s="11"/>
    </row>
    <row r="11" spans="1:7" ht="26.25" customHeight="1" x14ac:dyDescent="0.25">
      <c r="A11" s="11"/>
      <c r="B11" s="131" t="s">
        <v>135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CdXrA4xTOxj2856yIO390tEajiE85Ruez35OvKuA5pZ6SFRFi17rsHshWZAXsYWqbEcj6qrwO+mr3IAUvtIHZQ==" saltValue="Scls2sRODiZlV6WsiTI/U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2.8899999999999999E-2</v>
      </c>
      <c r="D9" s="22"/>
    </row>
    <row r="10" spans="1:4" ht="15" customHeight="1" x14ac:dyDescent="0.25">
      <c r="A10" s="11"/>
      <c r="B10" s="134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3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3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5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3"/>
      <c r="C21" s="11"/>
      <c r="D21" s="11"/>
    </row>
    <row r="22" spans="1:4" ht="15" customHeight="1" x14ac:dyDescent="0.25">
      <c r="A22" s="11"/>
      <c r="B22" s="84" t="s">
        <v>35</v>
      </c>
      <c r="C22" s="86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4"/>
      <c r="C25" s="86"/>
      <c r="D25" s="11"/>
    </row>
    <row r="26" spans="1:4" ht="15" customHeight="1" x14ac:dyDescent="0.25">
      <c r="A26" s="11"/>
      <c r="B26" s="83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aMV0A7Nhfsli52oE/svFyndebKbPiPbjuxIrL+dFu09IwQN8gNWWszAI8A6jyQ4Qa1ID8XPwPMlfUO7Hhhnf1w==" saltValue="gE6o3Q5gTxOFrPJYGKang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2026-10-01T14:45:21Z</dcterms:modified>
</cp:coreProperties>
</file>