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Novafos Måløv Rens AS (S070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Korrektion af ØR2020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externalReferences>
    <externalReference r:id="rId20"/>
  </externalReferences>
  <definedNames>
    <definedName name="GenKravAnlæg19">[1]Nøgletal!$C$13</definedName>
    <definedName name="GenKravDrift19">[1]Nøgletal!$B$13</definedName>
    <definedName name="GenKravSamlet19">[1]Nøgletal!$D$13</definedName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37" i="27" l="1"/>
  <c r="E21" i="40" l="1"/>
  <c r="E20" i="40"/>
  <c r="E16" i="40" l="1"/>
  <c r="E12" i="40"/>
  <c r="G26" i="30"/>
  <c r="E25" i="32" l="1"/>
  <c r="E30" i="32" s="1"/>
  <c r="E32" i="32" s="1"/>
  <c r="C26" i="15" l="1"/>
  <c r="C32" i="2"/>
  <c r="C14" i="19"/>
  <c r="G33" i="36" l="1"/>
  <c r="G25" i="36"/>
  <c r="G32" i="36" s="1"/>
  <c r="G7" i="36"/>
  <c r="G11" i="36" s="1"/>
  <c r="G34" i="30"/>
  <c r="G14" i="36" l="1"/>
  <c r="G18" i="36" s="1"/>
  <c r="G20" i="36" l="1"/>
  <c r="G24" i="36"/>
  <c r="G31" i="36" s="1"/>
  <c r="G35" i="36" l="1"/>
  <c r="E23" i="27" s="1"/>
  <c r="G39" i="36" l="1"/>
  <c r="E11" i="20" l="1"/>
  <c r="G33" i="30" l="1"/>
  <c r="E10" i="20" l="1"/>
  <c r="E12" i="20" s="1"/>
  <c r="E10" i="11" l="1"/>
  <c r="G7" i="30" l="1"/>
  <c r="G11" i="30" s="1"/>
  <c r="E29" i="20" l="1"/>
  <c r="E23" i="20"/>
  <c r="E17" i="20"/>
  <c r="C30" i="2" l="1"/>
  <c r="E28" i="20" l="1"/>
  <c r="E16" i="20"/>
  <c r="E18" i="20" s="1"/>
  <c r="E22" i="20"/>
  <c r="E24" i="20" s="1"/>
  <c r="C19" i="22" s="1"/>
  <c r="C20" i="15" l="1"/>
  <c r="C24" i="2"/>
  <c r="E30" i="20"/>
  <c r="C19" i="23" s="1"/>
  <c r="E29" i="21" l="1"/>
  <c r="E30" i="21" s="1"/>
  <c r="C29" i="21"/>
  <c r="C30" i="21" s="1"/>
  <c r="G61" i="30" s="1"/>
  <c r="E23" i="21"/>
  <c r="E24" i="21" s="1"/>
  <c r="G53" i="36" s="1"/>
  <c r="C23" i="21"/>
  <c r="C24" i="21" s="1"/>
  <c r="G55" i="30" s="1"/>
  <c r="E17" i="21"/>
  <c r="E18" i="21" s="1"/>
  <c r="C17" i="21"/>
  <c r="C18" i="21" s="1"/>
  <c r="G48" i="30" s="1"/>
  <c r="G47" i="36" l="1"/>
  <c r="C9" i="22"/>
  <c r="C10" i="23"/>
  <c r="C10" i="22"/>
  <c r="C10" i="15"/>
  <c r="C9" i="23"/>
  <c r="C11" i="15"/>
  <c r="E35" i="39"/>
  <c r="C35" i="39"/>
  <c r="E27" i="39"/>
  <c r="C27" i="39"/>
  <c r="E19" i="39"/>
  <c r="C19" i="39"/>
  <c r="E11" i="39"/>
  <c r="E13" i="39" s="1"/>
  <c r="C11" i="39"/>
  <c r="E12" i="39" l="1"/>
  <c r="C21" i="39"/>
  <c r="C20" i="39"/>
  <c r="C37" i="39"/>
  <c r="C36" i="39"/>
  <c r="E21" i="39"/>
  <c r="E20" i="39"/>
  <c r="E37" i="39"/>
  <c r="E36" i="39"/>
  <c r="C13" i="39"/>
  <c r="C12" i="39"/>
  <c r="C29" i="39"/>
  <c r="C28" i="39"/>
  <c r="E29" i="39"/>
  <c r="E28" i="39"/>
  <c r="C30" i="39" l="1"/>
  <c r="C21" i="22" s="1"/>
  <c r="C38" i="39"/>
  <c r="C21" i="23" s="1"/>
  <c r="C22" i="39"/>
  <c r="C22" i="15" s="1"/>
  <c r="E22" i="39"/>
  <c r="C23" i="15" s="1"/>
  <c r="E30" i="39"/>
  <c r="C22" i="22" s="1"/>
  <c r="E38" i="39"/>
  <c r="C22" i="23" s="1"/>
  <c r="E14" i="39"/>
  <c r="C27" i="2" s="1"/>
  <c r="C14" i="39"/>
  <c r="C26" i="2" s="1"/>
  <c r="C23" i="22" l="1"/>
  <c r="C23" i="23"/>
  <c r="C24" i="15"/>
  <c r="C28" i="2"/>
  <c r="G27" i="36" l="1"/>
  <c r="G15" i="30"/>
  <c r="G19" i="30" l="1"/>
  <c r="G25" i="30" s="1"/>
  <c r="G21" i="30" l="1"/>
  <c r="G28" i="30"/>
  <c r="G32" i="30"/>
  <c r="F11" i="11" l="1"/>
  <c r="C10" i="37" s="1"/>
  <c r="C11" i="37" s="1"/>
  <c r="C12" i="37" s="1"/>
  <c r="C10" i="2" s="1"/>
  <c r="G11" i="11"/>
  <c r="E11" i="21" l="1"/>
  <c r="C11" i="21"/>
  <c r="E11" i="29"/>
  <c r="C11" i="29"/>
  <c r="C15" i="19"/>
  <c r="C17" i="23" l="1"/>
  <c r="C18" i="15"/>
  <c r="C22" i="2"/>
  <c r="E12" i="29"/>
  <c r="C15" i="2" s="1"/>
  <c r="C12" i="29"/>
  <c r="C14" i="2" s="1"/>
  <c r="C12" i="21"/>
  <c r="C12" i="2" s="1"/>
  <c r="E12" i="21"/>
  <c r="C13" i="2" s="1"/>
  <c r="C17" i="22"/>
  <c r="G41" i="30" l="1"/>
  <c r="G47" i="30" s="1"/>
  <c r="G36" i="30"/>
  <c r="E11" i="11"/>
  <c r="E10" i="37" l="1"/>
  <c r="E11" i="37" s="1"/>
  <c r="E12" i="37" s="1"/>
  <c r="C11" i="2" s="1"/>
  <c r="G40" i="36" s="1"/>
  <c r="G40" i="30"/>
  <c r="G42" i="30" s="1"/>
  <c r="G46" i="30" s="1"/>
  <c r="G49" i="30" s="1"/>
  <c r="E22" i="27"/>
  <c r="E24" i="27" s="1"/>
  <c r="G41" i="36" l="1"/>
  <c r="C19" i="2" s="1"/>
  <c r="G46" i="36"/>
  <c r="C18" i="2"/>
  <c r="C9" i="2"/>
  <c r="C14" i="15"/>
  <c r="G45" i="36" l="1"/>
  <c r="G48" i="36" s="1"/>
  <c r="C16" i="2"/>
  <c r="C17" i="2" s="1"/>
  <c r="G54" i="30"/>
  <c r="G52" i="36" l="1"/>
  <c r="G54" i="36" s="1"/>
  <c r="C14" i="22" s="1"/>
  <c r="C20" i="2"/>
  <c r="C35" i="2" s="1"/>
  <c r="C15" i="15"/>
  <c r="G56" i="30"/>
  <c r="C13" i="22" s="1"/>
  <c r="G58" i="36" l="1"/>
  <c r="G60" i="30"/>
  <c r="G62" i="30" s="1"/>
  <c r="C13" i="23" s="1"/>
  <c r="C9" i="15"/>
  <c r="C12" i="15" s="1"/>
  <c r="G60" i="36" l="1"/>
  <c r="C14" i="23" s="1"/>
  <c r="C13" i="15"/>
  <c r="C16" i="15" s="1"/>
  <c r="C29" i="15" s="1"/>
  <c r="C8" i="22" l="1"/>
  <c r="C11" i="22" l="1"/>
  <c r="C12" i="22" s="1"/>
  <c r="C15" i="22" s="1"/>
  <c r="C26" i="22" s="1"/>
  <c r="C8" i="23" l="1"/>
  <c r="C11" i="23" s="1"/>
  <c r="C12" i="23" s="1"/>
  <c r="C15" i="23" l="1"/>
  <c r="C24" i="23" s="1"/>
</calcChain>
</file>

<file path=xl/sharedStrings.xml><?xml version="1.0" encoding="utf-8"?>
<sst xmlns="http://schemas.openxmlformats.org/spreadsheetml/2006/main" count="722" uniqueCount="289">
  <si>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</si>
  <si>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</si>
  <si>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</si>
  <si>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</si>
  <si>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</si>
  <si>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</si>
  <si>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</si>
  <si>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</si>
  <si>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</si>
  <si>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</si>
  <si>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</si>
  <si>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</si>
  <si>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</si>
  <si>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</si>
  <si>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</si>
  <si>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</si>
  <si>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</si>
  <si>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</si>
  <si>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</si>
  <si>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</si>
  <si>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</si>
  <si>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</si>
  <si>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</si>
  <si>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</si>
  <si>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</si>
  <si>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</si>
  <si>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</si>
  <si>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</si>
  <si>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</si>
  <si>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</si>
  <si>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</si>
  <si>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</si>
  <si>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</si>
  <si>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</si>
  <si>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</si>
  <si>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</si>
  <si>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</si>
  <si>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</si>
  <si>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</si>
  <si>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</si>
  <si>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</si>
  <si>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Fane 13</t>
  </si>
  <si>
    <t>Fane 14</t>
  </si>
  <si>
    <t>Nye tillæg - Drift</t>
  </si>
  <si>
    <t>Nye tillæg - Anlæg</t>
  </si>
  <si>
    <t>Prisudvikling til brug for nye omkostninger i ØR2020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</si>
  <si>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</si>
  <si>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</si>
  <si>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</si>
  <si>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</si>
  <si>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</si>
  <si>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</si>
  <si>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</si>
  <si>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</si>
  <si>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</si>
  <si>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</si>
  <si>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</si>
  <si>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</si>
  <si>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</si>
  <si>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Generelt effektiviseringskrav til anlægsomkostninger i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</si>
  <si>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</si>
  <si>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</si>
  <si>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</si>
  <si>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</si>
  <si>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</si>
  <si>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</si>
  <si>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</si>
  <si>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</si>
  <si>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</si>
  <si>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</si>
  <si>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</si>
  <si>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Base for anlægsomkostninger til de vejledende økonomiske rammer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</si>
  <si>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</si>
  <si>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</si>
  <si>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</si>
  <si>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</si>
  <si>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</si>
  <si>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</si>
  <si>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</si>
  <si>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</si>
  <si>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</si>
  <si>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</si>
  <si>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</si>
  <si>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</si>
  <si>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</si>
  <si>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</si>
  <si>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</si>
  <si>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</si>
  <si>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</si>
  <si>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</si>
  <si>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</si>
  <si>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</si>
  <si>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</si>
  <si>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</si>
  <si>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</si>
  <si>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</si>
  <si>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</si>
  <si>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</si>
  <si>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</si>
  <si>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Tillæg til tilbagebetaling af vejbidrag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</si>
  <si>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</si>
  <si>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</si>
  <si>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</si>
  <si>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</si>
  <si>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</si>
  <si>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Individuelt effektiviseringskrav til de økonomiske rammer for 2018-2021</t>
  </si>
  <si>
    <t>Generelt effektiviseringskrav til driftsomkostningerne</t>
  </si>
  <si>
    <t>Generelt effektiviseringskrav til anlægsomkostningerne</t>
  </si>
  <si>
    <t>Nøgletal</t>
  </si>
  <si>
    <t>Videreførte omkostninger fra den økonomiske ramme for 2022</t>
  </si>
  <si>
    <t>Fane 4.1</t>
  </si>
  <si>
    <t>Fane 4.2</t>
  </si>
  <si>
    <t>Fane 6</t>
  </si>
  <si>
    <t>Fane 10.1</t>
  </si>
  <si>
    <t>Fane 10.2</t>
  </si>
  <si>
    <t>Fane 11</t>
  </si>
  <si>
    <t>Fane 13: Bortfald eller nedsættelse af omkostninger til mål, medfinansiering eller udvidelse</t>
  </si>
  <si>
    <t>Fane 10.2: Engangstillæg</t>
  </si>
  <si>
    <t>Fane 10.1: Varige tillæg</t>
  </si>
  <si>
    <t>Fane 6: Ikke-påvirkelige omkostninger</t>
  </si>
  <si>
    <t>Fane 4.2: Generelt effektiviseringskrav til anlægsomkostningerne</t>
  </si>
  <si>
    <t>Fane 4.1: Generelt effektiviseringskrav til driftsomkostningerne</t>
  </si>
  <si>
    <t>Prisudvikling til brug for ØR2018-2021</t>
  </si>
  <si>
    <t>Generelt effektiviseringskrav til brug for nye anlægsomkostninger i ØR2019</t>
  </si>
  <si>
    <t>Generelt effektiviseringskrav til brug for anlægsomkostninger i ØR2018-2021</t>
  </si>
  <si>
    <t>Generelt effektiviseringskrav til brug for nye anlægsomkostninger i ØR2020</t>
  </si>
  <si>
    <t>Generelt effektiviseringskrav til brug for driftsomkostninger</t>
  </si>
  <si>
    <t>Fane 11: Periodevise driftsomkostninger givet under prisloftsbekendtgørelsen</t>
  </si>
  <si>
    <t>Tillæg til medfinansieringsprojekter godkendt under prisloftsbekendtgørelsen</t>
  </si>
  <si>
    <t>- Heraf nye anlægsomkostninger til de økonomiske rammer for 2020</t>
  </si>
  <si>
    <t>- Heraf nye driftsomkostninger til de økonomiske rammer for 2020</t>
  </si>
  <si>
    <t>Periodevise driftsomkostninger i den økonomiske ramme for 2018</t>
  </si>
  <si>
    <t>Fane 3</t>
  </si>
  <si>
    <t>Korrektion af driftsomkostninger i grundlaget</t>
  </si>
  <si>
    <t>Korrektion af anlægsomkostninger i grundlaget</t>
  </si>
  <si>
    <t>Tilknyttet virksomhed</t>
  </si>
  <si>
    <t>Vejledende økonomisk ramme for 2024</t>
  </si>
  <si>
    <t>Tidligere tilknyttet virksomhed - Drift</t>
  </si>
  <si>
    <t>Tidligere tilknyttet virksomhed - Anlæg</t>
  </si>
  <si>
    <t>Videreførte omkostninger fra den økonomiske ramme for 2023</t>
  </si>
  <si>
    <t>Økonomisk ramme for 2024</t>
  </si>
  <si>
    <t>Tillæg til den økonomiske ramme for 2024</t>
  </si>
  <si>
    <t>Nye tillæg i alt i 2020-prisniveau</t>
  </si>
  <si>
    <t>Engangstillæg i alt i 2022-prisniveau</t>
  </si>
  <si>
    <t>Engangstillæg til de økonomiske rammer for 2024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</si>
  <si>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</si>
  <si>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</si>
  <si>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</si>
  <si>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</si>
  <si>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</si>
  <si>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</si>
  <si>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</si>
  <si>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</si>
  <si>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</si>
  <si>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Generelt effektiviseringskrav til brug for nye anlægsomkostninger i ØR2021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</si>
  <si>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</si>
  <si>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</si>
  <si>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</si>
  <si>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</si>
  <si>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</si>
  <si>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</si>
  <si>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</si>
  <si>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</si>
  <si>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</si>
  <si>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</si>
  <si>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</si>
  <si>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</si>
  <si>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</si>
  <si>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</si>
  <si>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Til indregning i de økonomiske rammer for 2022-2023</t>
  </si>
  <si>
    <t>Kontrol med overholdelse af økonomiske rammer</t>
  </si>
  <si>
    <t>Kontrol med overholdelse af økonomiske ramme</t>
  </si>
  <si>
    <t>Kontrol med de økonomiske rammer til indregning</t>
  </si>
  <si>
    <t>Fane 14: Nøgletal</t>
  </si>
  <si>
    <t>Til økonomiske rammer for 2022 og 2023</t>
  </si>
  <si>
    <t>Samlet økonomisk ramme for 2022</t>
  </si>
  <si>
    <t>Samlet økonomisk ramme for 2023</t>
  </si>
  <si>
    <t>Vejledende økonomisk ramme for 2025</t>
  </si>
  <si>
    <t>Omkostninger i ØR2021</t>
  </si>
  <si>
    <t>Kontrol af den økonomiske ramme for 2020</t>
  </si>
  <si>
    <t>Korrektion af den økonomiske ramme for 2020</t>
  </si>
  <si>
    <t>Fane 2.1: Samlet økonomisk ramme for 2022</t>
  </si>
  <si>
    <t>Fane 2.2: Samlet økonomisk ramme for 2023</t>
  </si>
  <si>
    <t>Fane 2.3: Samlet økonomisk ramme for 2024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</si>
  <si>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</si>
  <si>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</si>
  <si>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</si>
  <si>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</si>
  <si>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>Oversigt over den økonomiske ramme for 2021</t>
  </si>
  <si>
    <t>- Heraf nye omkostninger i ØR20 - Drift</t>
  </si>
  <si>
    <t>- Heraf nye omkostninger i ØR20 - Anlæg</t>
  </si>
  <si>
    <t>Generelt effektiviseringskrav til driftsomkostninger i de økonomiske rammer for 2022</t>
  </si>
  <si>
    <t>Generelt effektiviseringskrav til anlægsomkostninger i de økonomiske rammer for 2022</t>
  </si>
  <si>
    <t>Nye anlægsomkostninger til de økonomiske rammer for 2022</t>
  </si>
  <si>
    <t>Generelt effektiviseringskrav til anlægsomkostningerne i ØR22</t>
  </si>
  <si>
    <t>Individuelt effektiviseringskrav til de økonomiske rammer for 2022-2023</t>
  </si>
  <si>
    <t>Beregningen af jeres individuelle effektiviseringskrav fremgår af metodepapir samt bilag til benchmarkingmodellen 2022</t>
  </si>
  <si>
    <t>Faktiske ikke-påvirkelige omkostninger i 2020</t>
  </si>
  <si>
    <t>Faktiske omkostninger i 2020</t>
  </si>
  <si>
    <t>Ikke-påvirkelige omkostninger i 2020-prisniveau</t>
  </si>
  <si>
    <t>Ikke-påvirkelige omkostninger i 2022-prisniveau</t>
  </si>
  <si>
    <t>Tillæg til den økonomiske ramme for 2025</t>
  </si>
  <si>
    <t>Fane 7: Kontrol med overholdelse af den økonomiske ramme for 2020</t>
  </si>
  <si>
    <t>Fane 8: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</si>
  <si>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</si>
  <si>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</si>
  <si>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</si>
  <si>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</si>
  <si>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</si>
  <si>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</si>
  <si>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</si>
  <si>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i alt i 2023-prisniveau</t>
  </si>
  <si>
    <t>Engangstillæg til de økonomiske rammer for 2025</t>
  </si>
  <si>
    <t>Engangstillæg i alt i 2024-prisniveau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</si>
  <si>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</si>
  <si>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</si>
  <si>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</si>
  <si>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</si>
  <si>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</si>
  <si>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fra og med de økonomiske rammer for 2025</t>
  </si>
  <si>
    <t>Bortfald eller nedsættelse i alt i 2024-prisniveau</t>
  </si>
  <si>
    <t>Generelt effektiviseringskrav til brug for nye anlægsomkostninger i ØR2022</t>
  </si>
  <si>
    <t>Generelt effektiviseringskrav til anlægsomkostninger i de økonomiske rammer for 2020</t>
  </si>
  <si>
    <t>Generelt effektiviseringskrav til driftsomkostninger i de økonomiske rammer for 2023</t>
  </si>
  <si>
    <t>Generelt effektiviseringskrav til driftsomkostninger i de vejledende økonomiske rammer for 2025</t>
  </si>
  <si>
    <t>Generelt effektiviseringskrav til anlægsomkostninger i de vejledende økonomiske rammer for 2025</t>
  </si>
  <si>
    <t xml:space="preserve">Note: Denne opgørelse er taget fra jeres statusmeddelelse for den økonomiske ramme for 2021. I kan derfor ikke komme med høringssvar til denne opgørelse. </t>
  </si>
  <si>
    <t>- Heraf nye omkostninger i ØR19 - Drift</t>
  </si>
  <si>
    <t>- Heraf nye omkostninger i ØR19 - Anlæg</t>
  </si>
  <si>
    <t>Generelt effektiviseringskrav til driftsomkostninger i de økonomiske rammer for 2017</t>
  </si>
  <si>
    <t>Driftsomkostninger i grundlaget til de økonomiske rammer for 2017</t>
  </si>
  <si>
    <t>Periodevise driftsomkostninger i den økonomiske ramme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</si>
  <si>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</si>
  <si>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</si>
  <si>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</si>
  <si>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- Heraf nye driftsomkostninger til de økonomiske rammer for 2019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</si>
  <si>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</si>
  <si>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</si>
  <si>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</si>
  <si>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anlægsomkostningerne i ØR17</t>
  </si>
  <si>
    <t>Kontrol med overholdelse af den økonomiske ramme for 2020</t>
  </si>
  <si>
    <t>Indtægtsramme i den økonomiske ramme for 2020</t>
  </si>
  <si>
    <t>Faktiske indtægter i 2020</t>
  </si>
  <si>
    <t>Generelt effektiviseringskrav til driftsomkostningerne i ØR22</t>
  </si>
  <si>
    <t>Nye driftsomkostninger til de økonomiske rammer for 2022</t>
  </si>
  <si>
    <t>Base for driftsomkostninger til de økonomiske rammer for 2022</t>
  </si>
  <si>
    <t>Generelt effektiviseringskrav til anlægsomkostninger i de økonomiske rammer for 2017</t>
  </si>
  <si>
    <t>Anlægssomkostninger i grundlaget til de økonomiske rammer for 2017</t>
  </si>
  <si>
    <t>Base for anlægsomkostninger til de økonomiske rammer for 2018</t>
  </si>
  <si>
    <t>Nye anlægsomkostninger til de økonomiske rammer for 2018</t>
  </si>
  <si>
    <t>-Heraf nye anlægsomkostninger til de økonomiske rammer for 2019</t>
  </si>
  <si>
    <t>- Heraf nye anlægsomkostninger til de økonomiske rammer for 2019</t>
  </si>
  <si>
    <t>Base for anlægsomkostninger til de vejledende økonomiske rammer for 2022</t>
  </si>
  <si>
    <t>Generelt effektiviseringskrav til anlægsomkostninger i de vejledende økonomiske rammer for 2023</t>
  </si>
  <si>
    <t>Bortfald af anlægsomkostninger i de økonomiske rammer for 2025</t>
  </si>
  <si>
    <t>Vejledende generelt effektiviseringskrav til anlægsomkostningerne i ØR25</t>
  </si>
  <si>
    <t>Base for driftsomkostninger til de økonomiske rammer for 2023</t>
  </si>
  <si>
    <t>Generelt effektiviseringskrav til driftsomkostningerne i ØR23</t>
  </si>
  <si>
    <t>- Heraf nye driftsomkostninger til de økonomiske rammer for 2022</t>
  </si>
  <si>
    <t>Generelt effektiviseringskrav til anlægsomkostningerne i ØR23</t>
  </si>
  <si>
    <t>- Heraf nye anlægsomkostninger til de økonomiske rammer for 2022</t>
  </si>
  <si>
    <t>Individuelt effektiviseringskrav til de økonomiske rammer for 2017</t>
  </si>
  <si>
    <t xml:space="preserve">Indtægter fra tilbagebetalt skat eller sambeskatningsbidrag som følge af skattesagen </t>
  </si>
  <si>
    <t xml:space="preserve">Nedsættelse af økonomisk ramme som følge af skattesagen </t>
  </si>
  <si>
    <t>Prisudvikling til brug for ØR2017</t>
  </si>
  <si>
    <t>Generelt effektiviseringskrav til brug for anlægsomkostninger i ØR2017</t>
  </si>
  <si>
    <t>Ingen tilknyttet virksomhed</t>
  </si>
  <si>
    <t>Spildevandsafgift</t>
  </si>
  <si>
    <t>Afgift til Forsyningssekretariatet</t>
  </si>
  <si>
    <t>Køb af produkter og ydelser fra andre vandselskaber reguleret af vandsektorloven</t>
  </si>
  <si>
    <t>Ejendomsskat</t>
  </si>
  <si>
    <t>Ingen bortfald eller nedsættelse</t>
  </si>
  <si>
    <t>Tidligere opgjorte over/underdækninger</t>
  </si>
  <si>
    <t>Over/underdækning i 2017</t>
  </si>
  <si>
    <t>Over/underdækning i 2018</t>
  </si>
  <si>
    <t>Over/underdækning i 2019</t>
  </si>
  <si>
    <t>Note: Opgørelsen af overholdelse af de økonomiske rammer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</si>
  <si>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</si>
  <si>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</si>
  <si>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</si>
  <si>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</si>
  <si>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Resultat af kontrol med overholdelse af den økonomiske ramme for 2020</t>
  </si>
  <si>
    <t>Korrektion af den økonomiske ramme for 2019</t>
  </si>
  <si>
    <t>Prisudvikling til brug for ØR2022-2023</t>
  </si>
  <si>
    <t>Korrektion af supplerende investeringstillæg i de økonomiske rammer for 2020</t>
  </si>
  <si>
    <t>Ingen engangstillæg</t>
  </si>
  <si>
    <t>Ingen anlægsprojekter</t>
  </si>
  <si>
    <t>Kontrol med overholdelse af den økonomiske ramme</t>
  </si>
  <si>
    <t>Supplerende investeringstillæg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</si>
</sst>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32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7" fillId="2" borderId="0" xfId="0" applyFont="1" applyFill="1" applyBorder="1" applyAlignment="1" applyProtection="1"/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1" xfId="0" applyFont="1" applyFill="1" applyBorder="1" applyAlignment="1" applyProtection="1"/>
    <xf numFmtId="3" fontId="8" fillId="4" borderId="2" xfId="0" applyNumberFormat="1" applyFont="1" applyFill="1" applyBorder="1" applyAlignment="1" applyProtection="1">
      <alignment horizontal="right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1" fontId="8" fillId="0" borderId="1" xfId="0" applyNumberFormat="1" applyFont="1" applyFill="1" applyBorder="1" applyProtection="1"/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B6DDF3"/>
      <color rgb="FF212121"/>
      <color rgb="FFF2DCDB"/>
      <color rgb="FF650816"/>
      <color rgb="FF4C4C4C"/>
      <color rgb="FFBFBFBF"/>
      <color rgb="FFD9D9D9"/>
      <color rgb="FF35B099"/>
      <color rgb="FF9E0B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0/&#216;R-statusark/&#216;R-statusark-udkast_N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1.0168999999999999</v>
          </cell>
        </row>
        <row r="13">
          <cell r="B13">
            <v>0.02</v>
          </cell>
          <cell r="C13">
            <v>8.6999999999999994E-3</v>
          </cell>
          <cell r="D13">
            <v>1.7000000000000001E-2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3" t="s">
        <v>4</v>
      </c>
      <c r="E6" s="73"/>
      <c r="F6" s="73"/>
      <c r="G6" s="73"/>
      <c r="H6" s="3"/>
      <c r="I6" s="1"/>
    </row>
    <row r="7" spans="1:9" ht="15" customHeight="1" x14ac:dyDescent="0.25">
      <c r="A7" s="1"/>
      <c r="B7" s="1"/>
      <c r="C7" s="3"/>
      <c r="D7" s="73"/>
      <c r="E7" s="73"/>
      <c r="F7" s="73"/>
      <c r="G7" s="73"/>
      <c r="H7" s="3"/>
      <c r="I7" s="1"/>
    </row>
    <row r="8" spans="1:9" ht="15.75" x14ac:dyDescent="0.25">
      <c r="A8" s="1"/>
      <c r="B8" s="1"/>
      <c r="C8" s="4"/>
      <c r="D8" s="75" t="s">
        <v>174</v>
      </c>
      <c r="E8" s="75"/>
      <c r="F8" s="75"/>
      <c r="G8" s="7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4" t="s">
        <v>5</v>
      </c>
      <c r="E11" s="74"/>
      <c r="F11" s="74"/>
      <c r="G11" s="7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6" t="s">
        <v>175</v>
      </c>
      <c r="E13" s="77"/>
      <c r="F13" s="77"/>
      <c r="G13" s="78"/>
      <c r="H13" s="1"/>
      <c r="I13" s="1"/>
    </row>
    <row r="14" spans="1:9" x14ac:dyDescent="0.25">
      <c r="A14" s="1"/>
      <c r="B14" s="1"/>
      <c r="C14" s="6" t="s">
        <v>17</v>
      </c>
      <c r="D14" s="76" t="s">
        <v>176</v>
      </c>
      <c r="E14" s="77"/>
      <c r="F14" s="77"/>
      <c r="G14" s="78"/>
      <c r="H14" s="1"/>
      <c r="I14" s="1"/>
    </row>
    <row r="15" spans="1:9" x14ac:dyDescent="0.25">
      <c r="A15" s="1"/>
      <c r="B15" s="1"/>
      <c r="C15" s="6" t="s">
        <v>37</v>
      </c>
      <c r="D15" s="76" t="s">
        <v>136</v>
      </c>
      <c r="E15" s="77"/>
      <c r="F15" s="77"/>
      <c r="G15" s="78"/>
      <c r="H15" s="1"/>
      <c r="I15" s="1"/>
    </row>
    <row r="16" spans="1:9" x14ac:dyDescent="0.25">
      <c r="A16" s="1"/>
      <c r="B16" s="1"/>
      <c r="C16" s="6" t="s">
        <v>38</v>
      </c>
      <c r="D16" s="76" t="s">
        <v>177</v>
      </c>
      <c r="E16" s="77"/>
      <c r="F16" s="77"/>
      <c r="G16" s="78"/>
      <c r="H16" s="1"/>
      <c r="I16" s="1"/>
    </row>
    <row r="17" spans="1:9" x14ac:dyDescent="0.25">
      <c r="A17" s="1"/>
      <c r="B17" s="1"/>
      <c r="C17" s="6" t="s">
        <v>132</v>
      </c>
      <c r="D17" s="76" t="s">
        <v>178</v>
      </c>
      <c r="E17" s="77"/>
      <c r="F17" s="77"/>
      <c r="G17" s="78"/>
      <c r="H17" s="1"/>
      <c r="I17" s="1"/>
    </row>
    <row r="18" spans="1:9" x14ac:dyDescent="0.25">
      <c r="A18" s="1"/>
      <c r="B18" s="1"/>
      <c r="C18" s="6" t="s">
        <v>110</v>
      </c>
      <c r="D18" s="79" t="s">
        <v>94</v>
      </c>
      <c r="E18" s="80"/>
      <c r="F18" s="80"/>
      <c r="G18" s="81"/>
      <c r="H18" s="1"/>
      <c r="I18" s="1"/>
    </row>
    <row r="19" spans="1:9" x14ac:dyDescent="0.25">
      <c r="A19" s="1"/>
      <c r="B19" s="1"/>
      <c r="C19" s="6" t="s">
        <v>111</v>
      </c>
      <c r="D19" s="79" t="s">
        <v>95</v>
      </c>
      <c r="E19" s="80"/>
      <c r="F19" s="80"/>
      <c r="G19" s="81"/>
      <c r="H19" s="1"/>
      <c r="I19" s="1"/>
    </row>
    <row r="20" spans="1:9" x14ac:dyDescent="0.25">
      <c r="A20" s="1"/>
      <c r="B20" s="1"/>
      <c r="C20" s="6" t="s">
        <v>7</v>
      </c>
      <c r="D20" s="79" t="s">
        <v>10</v>
      </c>
      <c r="E20" s="80"/>
      <c r="F20" s="80"/>
      <c r="G20" s="81"/>
      <c r="H20" s="1"/>
      <c r="I20" s="1"/>
    </row>
    <row r="21" spans="1:9" x14ac:dyDescent="0.25">
      <c r="A21" s="1"/>
      <c r="B21" s="1"/>
      <c r="C21" s="6" t="s">
        <v>112</v>
      </c>
      <c r="D21" s="67" t="s">
        <v>13</v>
      </c>
      <c r="E21" s="68"/>
      <c r="F21" s="68"/>
      <c r="G21" s="69"/>
      <c r="H21" s="1"/>
      <c r="I21" s="1"/>
    </row>
    <row r="22" spans="1:9" x14ac:dyDescent="0.25">
      <c r="A22" s="1"/>
      <c r="B22" s="1"/>
      <c r="C22" s="6" t="s">
        <v>75</v>
      </c>
      <c r="D22" s="70" t="s">
        <v>179</v>
      </c>
      <c r="E22" s="71"/>
      <c r="F22" s="71"/>
      <c r="G22" s="72"/>
      <c r="H22" s="1"/>
      <c r="I22" s="1"/>
    </row>
    <row r="23" spans="1:9" x14ac:dyDescent="0.25">
      <c r="A23" s="1"/>
      <c r="B23" s="1"/>
      <c r="C23" s="6" t="s">
        <v>8</v>
      </c>
      <c r="D23" s="70" t="s">
        <v>180</v>
      </c>
      <c r="E23" s="71"/>
      <c r="F23" s="71"/>
      <c r="G23" s="72"/>
      <c r="H23" s="1"/>
      <c r="I23" s="1"/>
    </row>
    <row r="24" spans="1:9" x14ac:dyDescent="0.25">
      <c r="A24" s="1"/>
      <c r="B24" s="1"/>
      <c r="C24" s="6" t="s">
        <v>9</v>
      </c>
      <c r="D24" s="70" t="s">
        <v>39</v>
      </c>
      <c r="E24" s="71"/>
      <c r="F24" s="71"/>
      <c r="G24" s="72"/>
      <c r="H24" s="1"/>
      <c r="I24" s="1"/>
    </row>
    <row r="25" spans="1:9" x14ac:dyDescent="0.25">
      <c r="A25" s="1"/>
      <c r="B25" s="1"/>
      <c r="C25" s="6" t="s">
        <v>113</v>
      </c>
      <c r="D25" s="70" t="s">
        <v>76</v>
      </c>
      <c r="E25" s="71"/>
      <c r="F25" s="71"/>
      <c r="G25" s="72"/>
      <c r="H25" s="1"/>
      <c r="I25" s="1"/>
    </row>
    <row r="26" spans="1:9" x14ac:dyDescent="0.25">
      <c r="A26" s="1"/>
      <c r="B26" s="1"/>
      <c r="C26" s="6" t="s">
        <v>114</v>
      </c>
      <c r="D26" s="70" t="s">
        <v>77</v>
      </c>
      <c r="E26" s="71"/>
      <c r="F26" s="71"/>
      <c r="G26" s="72"/>
      <c r="H26" s="1"/>
      <c r="I26" s="1"/>
    </row>
    <row r="27" spans="1:9" x14ac:dyDescent="0.25">
      <c r="A27" s="1"/>
      <c r="B27" s="1"/>
      <c r="C27" s="6" t="s">
        <v>115</v>
      </c>
      <c r="D27" s="70" t="s">
        <v>78</v>
      </c>
      <c r="E27" s="71"/>
      <c r="F27" s="71"/>
      <c r="G27" s="72"/>
      <c r="H27" s="1"/>
      <c r="I27" s="1"/>
    </row>
    <row r="28" spans="1:9" x14ac:dyDescent="0.25">
      <c r="A28" s="1"/>
      <c r="B28" s="1"/>
      <c r="C28" s="6" t="s">
        <v>16</v>
      </c>
      <c r="D28" s="70" t="s">
        <v>135</v>
      </c>
      <c r="E28" s="71"/>
      <c r="F28" s="71"/>
      <c r="G28" s="72"/>
      <c r="H28" s="1"/>
      <c r="I28" s="1"/>
    </row>
    <row r="29" spans="1:9" x14ac:dyDescent="0.25">
      <c r="A29" s="1"/>
      <c r="B29" s="1"/>
      <c r="C29" s="6" t="s">
        <v>41</v>
      </c>
      <c r="D29" s="70" t="s">
        <v>40</v>
      </c>
      <c r="E29" s="71"/>
      <c r="F29" s="71"/>
      <c r="G29" s="72"/>
      <c r="H29" s="1"/>
      <c r="I29" s="1"/>
    </row>
    <row r="30" spans="1:9" x14ac:dyDescent="0.25">
      <c r="A30" s="1"/>
      <c r="B30" s="1"/>
      <c r="C30" s="6" t="s">
        <v>42</v>
      </c>
      <c r="D30" s="64" t="s">
        <v>108</v>
      </c>
      <c r="E30" s="65"/>
      <c r="F30" s="65"/>
      <c r="G30" s="66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6gbNyDCklDtDYI2L9Pv4/BVS6RO87JM8mZUSmOsubDFTHgtJonPWAW5hA86jwIoEevgba6qrL+q1UfQIY/A2MQ==" saltValue="lgxOo+L1MYOdkvH79h2bMg==" spinCount="100000" sheet="1" objects="1" scenarios="1"/>
  <mergeCells count="21"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14:G14"/>
    <mergeCell ref="D30:G30"/>
    <mergeCell ref="D21:G21"/>
    <mergeCell ref="D24:G24"/>
    <mergeCell ref="D25:G25"/>
    <mergeCell ref="D28:G28"/>
    <mergeCell ref="D26:G26"/>
    <mergeCell ref="D27:G27"/>
    <mergeCell ref="D23:G23"/>
    <mergeCell ref="D29:G29"/>
  </mergeCells>
  <hyperlinks>
    <hyperlink ref="D14:G14" location="'Fane 2.2. Økonomisk ramme 2023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1:G21" location="'Fane 6. Ikke-påvirkelige omk.'!A1" display="Ikke-påvirkelige omkostninger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1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6. Korrektion af ØR2020" display="Korrektion af den økonomiske ramme for 2019"/>
    <hyperlink ref="D19:G19" location="'Fane 4.2. Gen. krav - anlæg'!A1" display="Generelt effektiviseringskrav på anlæg"/>
    <hyperlink ref="D20:G20" location="'Fane 5. Individuelt eff. krav'!A1" display="Individuelt effektiviseringskrav"/>
    <hyperlink ref="D18:G18" location="'Fane 4.1. Gen. krav - drift'!A1" display="Generelt effektiviseringskrav på drift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2" t="s">
        <v>119</v>
      </c>
      <c r="C3" s="82"/>
      <c r="D3" s="82"/>
      <c r="E3" s="1"/>
      <c r="F3" s="1"/>
    </row>
    <row r="4" spans="1:6" ht="15" customHeight="1" x14ac:dyDescent="0.25">
      <c r="A4" s="1"/>
      <c r="B4" s="82"/>
      <c r="C4" s="82"/>
      <c r="D4" s="82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06" t="s">
        <v>197</v>
      </c>
      <c r="C8" s="107"/>
      <c r="D8" s="108"/>
      <c r="E8" s="1"/>
      <c r="F8" s="1"/>
    </row>
    <row r="9" spans="1:6" ht="15" customHeight="1" x14ac:dyDescent="0.25">
      <c r="A9" s="1"/>
      <c r="B9" s="46" t="s">
        <v>35</v>
      </c>
      <c r="C9" s="11" t="s">
        <v>198</v>
      </c>
      <c r="D9" s="11"/>
      <c r="E9" s="1"/>
      <c r="F9" s="1"/>
    </row>
    <row r="10" spans="1:6" ht="15" customHeight="1" x14ac:dyDescent="0.25">
      <c r="A10" s="1"/>
      <c r="B10" s="58" t="s">
        <v>267</v>
      </c>
      <c r="C10" s="9">
        <v>940132</v>
      </c>
      <c r="D10" s="14" t="s">
        <v>3</v>
      </c>
      <c r="E10" s="1"/>
      <c r="F10" s="1"/>
    </row>
    <row r="11" spans="1:6" x14ac:dyDescent="0.25">
      <c r="A11" s="1"/>
      <c r="B11" s="58" t="s">
        <v>268</v>
      </c>
      <c r="C11" s="9">
        <v>79606</v>
      </c>
      <c r="D11" s="14" t="s">
        <v>3</v>
      </c>
      <c r="E11" s="1"/>
      <c r="F11" s="1"/>
    </row>
    <row r="12" spans="1:6" x14ac:dyDescent="0.25">
      <c r="A12" s="1"/>
      <c r="B12" s="58" t="s">
        <v>269</v>
      </c>
      <c r="C12" s="9">
        <v>1975033</v>
      </c>
      <c r="D12" s="14" t="s">
        <v>3</v>
      </c>
      <c r="E12" s="1"/>
      <c r="F12" s="1"/>
    </row>
    <row r="13" spans="1:6" x14ac:dyDescent="0.25">
      <c r="A13" s="1"/>
      <c r="B13" s="58" t="s">
        <v>270</v>
      </c>
      <c r="C13" s="9">
        <v>133902</v>
      </c>
      <c r="D13" s="14" t="s">
        <v>3</v>
      </c>
      <c r="E13" s="1"/>
      <c r="F13" s="1"/>
    </row>
    <row r="14" spans="1:6" x14ac:dyDescent="0.25">
      <c r="A14" s="1"/>
      <c r="B14" s="36" t="s">
        <v>199</v>
      </c>
      <c r="C14" s="12">
        <f>SUM(C10:C13)</f>
        <v>3128673</v>
      </c>
      <c r="D14" s="13" t="s">
        <v>3</v>
      </c>
      <c r="E14" s="1"/>
      <c r="F14" s="1"/>
    </row>
    <row r="15" spans="1:6" x14ac:dyDescent="0.25">
      <c r="A15" s="1"/>
      <c r="B15" s="36" t="s">
        <v>200</v>
      </c>
      <c r="C15" s="12">
        <f>C14*(1+'Fane 14. Nøgletal'!C14)^2</f>
        <v>3149356.3130489704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06" t="s">
        <v>128</v>
      </c>
      <c r="C18" s="107"/>
      <c r="D18" s="108"/>
      <c r="E18" s="1"/>
      <c r="F18" s="1"/>
    </row>
    <row r="19" spans="1:6" x14ac:dyDescent="0.25">
      <c r="A19" s="1"/>
      <c r="B19" s="58" t="s">
        <v>100</v>
      </c>
      <c r="C19" s="9">
        <v>0</v>
      </c>
      <c r="D19" s="14" t="s">
        <v>3</v>
      </c>
      <c r="E19" s="1"/>
      <c r="F19" s="1"/>
    </row>
    <row r="20" spans="1:6" x14ac:dyDescent="0.25">
      <c r="A20" s="1"/>
      <c r="B20" s="58" t="s">
        <v>101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58" t="s">
        <v>141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58" t="s">
        <v>201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106"/>
      <c r="C23" s="107"/>
      <c r="D23" s="108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06" t="s">
        <v>99</v>
      </c>
      <c r="C26" s="107"/>
      <c r="D26" s="108"/>
      <c r="E26" s="1"/>
      <c r="F26" s="1"/>
    </row>
    <row r="27" spans="1:6" x14ac:dyDescent="0.25">
      <c r="A27" s="1"/>
      <c r="B27" s="58" t="s">
        <v>100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58" t="s">
        <v>101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8" t="s">
        <v>141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58" t="s">
        <v>201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106"/>
      <c r="C31" s="107"/>
      <c r="D31" s="108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MtlK9hmvgs9cJn2qSDHkXVjCExSdIIK7qf6xSZGrc0yk3+3BN6AHg78VEO3BJMy40ksiNe/4wNCrEmBIlBq4pA==" saltValue="3KV4m5dI2FFzujwtjEQnLg==" spinCount="100000" sheet="1" objects="1" scenarios="1"/>
  <mergeCells count="6">
    <mergeCell ref="B31:D31"/>
    <mergeCell ref="B3:D4"/>
    <mergeCell ref="B8:D8"/>
    <mergeCell ref="B18:D18"/>
    <mergeCell ref="B26:D26"/>
    <mergeCell ref="B23:D23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102" t="s">
        <v>202</v>
      </c>
      <c r="C3" s="102"/>
      <c r="D3" s="102"/>
      <c r="E3" s="102"/>
      <c r="F3" s="102"/>
      <c r="G3" s="1"/>
    </row>
    <row r="4" spans="1:7" ht="15" customHeight="1" x14ac:dyDescent="0.25">
      <c r="A4" s="1"/>
      <c r="B4" s="102"/>
      <c r="C4" s="102"/>
      <c r="D4" s="102"/>
      <c r="E4" s="102"/>
      <c r="F4" s="102"/>
      <c r="G4" s="1"/>
    </row>
    <row r="5" spans="1:7" ht="15" customHeight="1" x14ac:dyDescent="0.25">
      <c r="A5" s="1"/>
      <c r="B5" s="40"/>
      <c r="C5" s="40"/>
      <c r="D5" s="40"/>
      <c r="E5" s="40"/>
      <c r="F5" s="40"/>
      <c r="G5" s="1"/>
    </row>
    <row r="6" spans="1:7" ht="15" customHeight="1" x14ac:dyDescent="0.25">
      <c r="A6" s="1"/>
      <c r="B6" s="40"/>
      <c r="C6" s="40"/>
      <c r="D6" s="40"/>
      <c r="E6" s="40"/>
      <c r="F6" s="40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06" t="s">
        <v>272</v>
      </c>
      <c r="C8" s="107"/>
      <c r="D8" s="107"/>
      <c r="E8" s="107"/>
      <c r="F8" s="108"/>
      <c r="G8" s="1"/>
    </row>
    <row r="9" spans="1:7" x14ac:dyDescent="0.25">
      <c r="A9" s="1"/>
      <c r="B9" s="109" t="s">
        <v>273</v>
      </c>
      <c r="C9" s="110"/>
      <c r="D9" s="111"/>
      <c r="E9" s="9">
        <v>1605615.6122734398</v>
      </c>
      <c r="F9" s="14" t="s">
        <v>3</v>
      </c>
      <c r="G9" s="1"/>
    </row>
    <row r="10" spans="1:7" x14ac:dyDescent="0.25">
      <c r="A10" s="1"/>
      <c r="B10" s="109" t="s">
        <v>274</v>
      </c>
      <c r="C10" s="110"/>
      <c r="D10" s="111"/>
      <c r="E10" s="9">
        <v>-1499095.1862761453</v>
      </c>
      <c r="F10" s="14" t="s">
        <v>3</v>
      </c>
      <c r="G10" s="1"/>
    </row>
    <row r="11" spans="1:7" x14ac:dyDescent="0.25">
      <c r="A11" s="1"/>
      <c r="B11" s="109" t="s">
        <v>275</v>
      </c>
      <c r="C11" s="110"/>
      <c r="D11" s="111"/>
      <c r="E11" s="9">
        <v>-150553.61989630386</v>
      </c>
      <c r="F11" s="14" t="s">
        <v>3</v>
      </c>
      <c r="G11" s="1"/>
    </row>
    <row r="12" spans="1:7" x14ac:dyDescent="0.25">
      <c r="A12" s="1"/>
      <c r="B12" s="36"/>
      <c r="C12" s="37"/>
      <c r="D12" s="37"/>
      <c r="E12" s="37"/>
      <c r="F12" s="20"/>
      <c r="G12" s="1"/>
    </row>
    <row r="13" spans="1:7" ht="52.5" customHeight="1" x14ac:dyDescent="0.25">
      <c r="A13" s="1"/>
      <c r="B13" s="84" t="s">
        <v>276</v>
      </c>
      <c r="C13" s="85"/>
      <c r="D13" s="85"/>
      <c r="E13" s="85"/>
      <c r="F13" s="86"/>
      <c r="G13" s="1"/>
    </row>
    <row r="14" spans="1:7" ht="27" customHeight="1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06" t="s">
        <v>277</v>
      </c>
      <c r="C15" s="107"/>
      <c r="D15" s="107"/>
      <c r="E15" s="107"/>
      <c r="F15" s="108"/>
      <c r="G15" s="1"/>
    </row>
    <row r="16" spans="1:7" x14ac:dyDescent="0.25">
      <c r="A16" s="1"/>
      <c r="B16" s="109" t="s">
        <v>278</v>
      </c>
      <c r="C16" s="110"/>
      <c r="D16" s="111"/>
      <c r="E16" s="9">
        <v>-22016.787001352757</v>
      </c>
      <c r="F16" s="14" t="s">
        <v>3</v>
      </c>
      <c r="G16" s="1"/>
    </row>
    <row r="17" spans="1:7" x14ac:dyDescent="0.25">
      <c r="A17" s="1"/>
      <c r="B17" s="109" t="s">
        <v>279</v>
      </c>
      <c r="C17" s="110"/>
      <c r="D17" s="111"/>
      <c r="E17" s="9">
        <v>-22016.787001352757</v>
      </c>
      <c r="F17" s="14" t="s">
        <v>3</v>
      </c>
      <c r="G17" s="1"/>
    </row>
    <row r="18" spans="1:7" x14ac:dyDescent="0.25">
      <c r="A18" s="1"/>
      <c r="B18" s="36"/>
      <c r="C18" s="37"/>
      <c r="D18" s="37"/>
      <c r="E18" s="37"/>
      <c r="F18" s="20"/>
      <c r="G18" s="1"/>
    </row>
    <row r="19" spans="1:7" ht="31.5" customHeight="1" x14ac:dyDescent="0.25">
      <c r="A19" s="1"/>
      <c r="B19" s="84" t="s">
        <v>280</v>
      </c>
      <c r="C19" s="85"/>
      <c r="D19" s="85"/>
      <c r="E19" s="85"/>
      <c r="F19" s="86"/>
      <c r="G19" s="1"/>
    </row>
    <row r="20" spans="1:7" ht="28.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55" t="s">
        <v>240</v>
      </c>
      <c r="C21" s="56"/>
      <c r="D21" s="56"/>
      <c r="E21" s="56"/>
      <c r="F21" s="57"/>
      <c r="G21" s="1"/>
    </row>
    <row r="22" spans="1:7" x14ac:dyDescent="0.25">
      <c r="A22" s="1"/>
      <c r="B22" s="52" t="s">
        <v>241</v>
      </c>
      <c r="C22" s="53"/>
      <c r="D22" s="54"/>
      <c r="E22" s="9">
        <v>18235929.755532905</v>
      </c>
      <c r="F22" s="14" t="s">
        <v>3</v>
      </c>
      <c r="G22" s="1"/>
    </row>
    <row r="23" spans="1:7" x14ac:dyDescent="0.25">
      <c r="A23" s="1"/>
      <c r="B23" s="52" t="s">
        <v>242</v>
      </c>
      <c r="C23" s="53"/>
      <c r="D23" s="54"/>
      <c r="E23" s="9">
        <v>19840439</v>
      </c>
      <c r="F23" s="14" t="s">
        <v>3</v>
      </c>
      <c r="G23" s="1"/>
    </row>
    <row r="24" spans="1:7" x14ac:dyDescent="0.25">
      <c r="A24" s="1"/>
      <c r="B24" s="52" t="s">
        <v>36</v>
      </c>
      <c r="C24" s="53"/>
      <c r="D24" s="54"/>
      <c r="E24" s="9">
        <v>0</v>
      </c>
      <c r="F24" s="14" t="s">
        <v>3</v>
      </c>
      <c r="G24" s="1"/>
    </row>
    <row r="25" spans="1:7" x14ac:dyDescent="0.25">
      <c r="A25" s="1"/>
      <c r="B25" s="49" t="s">
        <v>281</v>
      </c>
      <c r="C25" s="50"/>
      <c r="D25" s="51"/>
      <c r="E25" s="39">
        <f>E22-(E23-E24)</f>
        <v>-1604509.2444670945</v>
      </c>
      <c r="F25" s="17" t="s">
        <v>3</v>
      </c>
      <c r="G25" s="1"/>
    </row>
    <row r="26" spans="1:7" x14ac:dyDescent="0.25">
      <c r="A26" s="1"/>
      <c r="B26" s="36"/>
      <c r="C26" s="37"/>
      <c r="D26" s="37"/>
      <c r="E26" s="37"/>
      <c r="F26" s="20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06" t="s">
        <v>169</v>
      </c>
      <c r="C29" s="107"/>
      <c r="D29" s="107"/>
      <c r="E29" s="107"/>
      <c r="F29" s="108"/>
      <c r="G29" s="1"/>
    </row>
    <row r="30" spans="1:7" x14ac:dyDescent="0.25">
      <c r="A30" s="1"/>
      <c r="B30" s="123" t="s">
        <v>170</v>
      </c>
      <c r="C30" s="124"/>
      <c r="D30" s="125"/>
      <c r="E30" s="9">
        <f>IF(AND(E9&lt;0,SUM(E10:E11,E25)&gt;0),E9,IF(AND(E9&lt;0,SUM(E10:E11,E25)&lt;0),E9+SUM(E10:E11,E25),IF(AND(E9&gt;0,SUM(E9:E11,E25)&gt;0),0,IF(AND(E9&gt;0,SUM(E9:E11,E25)&lt;0),SUM(E9:E11,E25)))))</f>
        <v>-1648542.4383661039</v>
      </c>
      <c r="F30" s="14" t="s">
        <v>3</v>
      </c>
      <c r="G30" s="1"/>
    </row>
    <row r="31" spans="1:7" x14ac:dyDescent="0.25">
      <c r="A31" s="1"/>
      <c r="B31" s="123" t="s">
        <v>104</v>
      </c>
      <c r="C31" s="124"/>
      <c r="D31" s="125"/>
      <c r="E31" s="9">
        <v>2</v>
      </c>
      <c r="F31" s="14" t="s">
        <v>21</v>
      </c>
      <c r="G31" s="1"/>
    </row>
    <row r="32" spans="1:7" x14ac:dyDescent="0.25">
      <c r="A32" s="1"/>
      <c r="B32" s="126" t="s">
        <v>172</v>
      </c>
      <c r="C32" s="126"/>
      <c r="D32" s="126"/>
      <c r="E32" s="10">
        <f>E30/E31</f>
        <v>-824271.21918305196</v>
      </c>
      <c r="F32" s="17" t="s">
        <v>3</v>
      </c>
      <c r="G32" s="1"/>
    </row>
    <row r="33" spans="1:7" x14ac:dyDescent="0.25">
      <c r="A33" s="1"/>
      <c r="B33" s="120"/>
      <c r="C33" s="121"/>
      <c r="D33" s="121"/>
      <c r="E33" s="121"/>
      <c r="F33" s="122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6YBGIBQoRp7tjHcr1srV0xwSph9qIBpz7zC9WOw+EUAc1AJAIgZMXNm9rFIQyeb0N2Did54Ldw3V/wWo/h4WCQ==" saltValue="4j7cLjUpKhs7+KY+MZPhcQ==" spinCount="100000" sheet="1" objects="1" scenarios="1"/>
  <mergeCells count="15">
    <mergeCell ref="B13:F13"/>
    <mergeCell ref="B15:F15"/>
    <mergeCell ref="B16:D16"/>
    <mergeCell ref="B17:D17"/>
    <mergeCell ref="B33:F33"/>
    <mergeCell ref="B19:F19"/>
    <mergeCell ref="B29:F29"/>
    <mergeCell ref="B30:D30"/>
    <mergeCell ref="B31:D31"/>
    <mergeCell ref="B32:D32"/>
    <mergeCell ref="B3:F4"/>
    <mergeCell ref="B8:F8"/>
    <mergeCell ref="B9:D9"/>
    <mergeCell ref="B10:D10"/>
    <mergeCell ref="B11:D11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102" t="s">
        <v>203</v>
      </c>
      <c r="C3" s="102"/>
      <c r="D3" s="102"/>
      <c r="E3" s="102"/>
      <c r="F3" s="102"/>
      <c r="G3" s="1"/>
    </row>
    <row r="4" spans="1:7" ht="15" customHeight="1" x14ac:dyDescent="0.25">
      <c r="A4" s="1"/>
      <c r="B4" s="102"/>
      <c r="C4" s="102"/>
      <c r="D4" s="102"/>
      <c r="E4" s="102"/>
      <c r="F4" s="10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106" t="s">
        <v>204</v>
      </c>
      <c r="C9" s="107"/>
      <c r="D9" s="107"/>
      <c r="E9" s="107"/>
      <c r="F9" s="107"/>
      <c r="G9" s="1"/>
    </row>
    <row r="10" spans="1:7" x14ac:dyDescent="0.25">
      <c r="A10" s="1"/>
      <c r="B10" s="84" t="s">
        <v>102</v>
      </c>
      <c r="C10" s="85"/>
      <c r="D10" s="86"/>
      <c r="E10" s="7">
        <v>157771.29434711733</v>
      </c>
      <c r="F10" s="8" t="s">
        <v>3</v>
      </c>
      <c r="G10" s="1"/>
    </row>
    <row r="11" spans="1:7" x14ac:dyDescent="0.25">
      <c r="A11" s="1"/>
      <c r="B11" s="109" t="s">
        <v>205</v>
      </c>
      <c r="C11" s="110"/>
      <c r="D11" s="111"/>
      <c r="E11" s="7">
        <v>0</v>
      </c>
      <c r="F11" s="8" t="s">
        <v>3</v>
      </c>
      <c r="G11" s="1"/>
    </row>
    <row r="12" spans="1:7" x14ac:dyDescent="0.25">
      <c r="A12" s="1"/>
      <c r="B12" s="96" t="s">
        <v>103</v>
      </c>
      <c r="C12" s="97"/>
      <c r="D12" s="98"/>
      <c r="E12" s="10">
        <f>E11-E10</f>
        <v>-157771.29434711733</v>
      </c>
      <c r="F12" s="11" t="s">
        <v>3</v>
      </c>
      <c r="G12" s="1"/>
    </row>
    <row r="13" spans="1:7" x14ac:dyDescent="0.25">
      <c r="A13" s="1"/>
      <c r="B13" s="106" t="s">
        <v>93</v>
      </c>
      <c r="C13" s="107"/>
      <c r="D13" s="107"/>
      <c r="E13" s="107"/>
      <c r="F13" s="107"/>
      <c r="G13" s="1"/>
    </row>
    <row r="14" spans="1:7" x14ac:dyDescent="0.25">
      <c r="A14" s="1"/>
      <c r="B14" s="109" t="s">
        <v>206</v>
      </c>
      <c r="C14" s="110"/>
      <c r="D14" s="111"/>
      <c r="E14" s="9">
        <v>0</v>
      </c>
      <c r="F14" s="8" t="s">
        <v>3</v>
      </c>
      <c r="G14" s="1"/>
    </row>
    <row r="15" spans="1:7" x14ac:dyDescent="0.25">
      <c r="A15" s="1"/>
      <c r="B15" s="84" t="s">
        <v>207</v>
      </c>
      <c r="C15" s="85"/>
      <c r="D15" s="86"/>
      <c r="E15" s="9">
        <v>0</v>
      </c>
      <c r="F15" s="8" t="s">
        <v>3</v>
      </c>
      <c r="G15" s="1"/>
    </row>
    <row r="16" spans="1:7" x14ac:dyDescent="0.25">
      <c r="A16" s="1"/>
      <c r="B16" s="96" t="s">
        <v>103</v>
      </c>
      <c r="C16" s="97"/>
      <c r="D16" s="98"/>
      <c r="E16" s="10">
        <f>E15-E14</f>
        <v>0</v>
      </c>
      <c r="F16" s="11" t="s">
        <v>3</v>
      </c>
      <c r="G16" s="1"/>
    </row>
    <row r="17" spans="1:7" x14ac:dyDescent="0.25">
      <c r="A17" s="1"/>
      <c r="B17" s="106" t="s">
        <v>284</v>
      </c>
      <c r="C17" s="107"/>
      <c r="D17" s="107"/>
      <c r="E17" s="107"/>
      <c r="F17" s="107"/>
      <c r="G17" s="1"/>
    </row>
    <row r="18" spans="1:7" x14ac:dyDescent="0.25">
      <c r="A18" s="1"/>
      <c r="B18" s="109" t="s">
        <v>206</v>
      </c>
      <c r="C18" s="110"/>
      <c r="D18" s="111"/>
      <c r="E18" s="9">
        <v>1486000</v>
      </c>
      <c r="F18" s="8" t="s">
        <v>3</v>
      </c>
      <c r="G18" s="1"/>
    </row>
    <row r="19" spans="1:7" ht="15" customHeight="1" x14ac:dyDescent="0.25">
      <c r="A19" s="1"/>
      <c r="B19" s="84" t="s">
        <v>198</v>
      </c>
      <c r="C19" s="85"/>
      <c r="D19" s="86"/>
      <c r="E19" s="9">
        <v>742513</v>
      </c>
      <c r="F19" s="8" t="s">
        <v>3</v>
      </c>
      <c r="G19" s="1"/>
    </row>
    <row r="20" spans="1:7" x14ac:dyDescent="0.25">
      <c r="A20" s="1"/>
      <c r="B20" s="96" t="s">
        <v>103</v>
      </c>
      <c r="C20" s="97"/>
      <c r="D20" s="98"/>
      <c r="E20" s="10">
        <f>E19-E18</f>
        <v>-743487</v>
      </c>
      <c r="F20" s="11" t="s">
        <v>3</v>
      </c>
      <c r="G20" s="1"/>
    </row>
    <row r="21" spans="1:7" ht="15" customHeight="1" x14ac:dyDescent="0.25">
      <c r="A21" s="1"/>
      <c r="B21" s="36" t="s">
        <v>208</v>
      </c>
      <c r="C21" s="37"/>
      <c r="D21" s="37"/>
      <c r="E21" s="12">
        <f>E12+E16+E20</f>
        <v>-901258.29434711731</v>
      </c>
      <c r="F21" s="13" t="s">
        <v>3</v>
      </c>
      <c r="G21" s="1"/>
    </row>
    <row r="22" spans="1:7" ht="15" customHeight="1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O6r+3Wr6uIE/B3hblVhZCotsghV2F0cpDbUV5RcTzZenvUfHod1blicDS/Lpo68npIbdvu7FLxrY3JaWCWb2TA==" saltValue="lAOir8KZKS/QLulLzT/2vg==" spinCount="100000" sheet="1" objects="1" scenarios="1"/>
  <mergeCells count="13">
    <mergeCell ref="B20:D20"/>
    <mergeCell ref="B17:F17"/>
    <mergeCell ref="B18:D18"/>
    <mergeCell ref="B19:D19"/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showWhiteSpace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2" t="s">
        <v>155</v>
      </c>
      <c r="C3" s="82"/>
      <c r="D3" s="82"/>
      <c r="E3" s="82"/>
      <c r="F3" s="82"/>
      <c r="G3" s="82"/>
      <c r="H3" s="82"/>
      <c r="I3" s="1"/>
    </row>
    <row r="4" spans="1:9" ht="15" customHeight="1" x14ac:dyDescent="0.25">
      <c r="A4" s="1"/>
      <c r="B4" s="82"/>
      <c r="C4" s="82"/>
      <c r="D4" s="82"/>
      <c r="E4" s="82"/>
      <c r="F4" s="82"/>
      <c r="G4" s="82"/>
      <c r="H4" s="8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06" t="s">
        <v>156</v>
      </c>
      <c r="C8" s="107"/>
      <c r="D8" s="107"/>
      <c r="E8" s="107"/>
      <c r="F8" s="107"/>
      <c r="G8" s="107"/>
      <c r="H8" s="108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33</v>
      </c>
      <c r="H9" s="62"/>
      <c r="I9" s="1"/>
    </row>
    <row r="10" spans="1:9" x14ac:dyDescent="0.25">
      <c r="A10" s="1"/>
      <c r="B10" s="60" t="s">
        <v>286</v>
      </c>
      <c r="C10" s="63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106" t="s">
        <v>157</v>
      </c>
      <c r="C11" s="107"/>
      <c r="D11" s="108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8FNBwvAoH07LJTY9nzxpBILXpJzB4B7u0l1E0X6PvnonVefFthJVugnYGK0Q36FUFdkyicRuYDt/RjhP3R68Yg==" saltValue="IDRiapUODdyhUNDATiv+n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118</v>
      </c>
      <c r="C3" s="82"/>
      <c r="D3" s="82"/>
      <c r="E3" s="82"/>
      <c r="F3" s="82"/>
      <c r="G3" s="1"/>
    </row>
    <row r="4" spans="1:7" ht="1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6" t="s">
        <v>72</v>
      </c>
      <c r="C8" s="37"/>
      <c r="D8" s="37"/>
      <c r="E8" s="37"/>
      <c r="F8" s="20"/>
      <c r="G8" s="1"/>
    </row>
    <row r="9" spans="1:7" ht="17.25" customHeight="1" x14ac:dyDescent="0.25">
      <c r="A9" s="1"/>
      <c r="B9" s="44" t="s">
        <v>18</v>
      </c>
      <c r="C9" s="44" t="s">
        <v>12</v>
      </c>
      <c r="D9" s="45"/>
      <c r="E9" s="44" t="s">
        <v>34</v>
      </c>
      <c r="F9" s="62"/>
      <c r="G9" s="1"/>
    </row>
    <row r="10" spans="1:7" x14ac:dyDescent="0.25">
      <c r="A10" s="1"/>
      <c r="B10" s="25" t="s">
        <v>158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36" t="s">
        <v>142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6" t="s">
        <v>209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uhqr4G77jySKxeYwXomMUwj+fhfcK2tlgFcaB8xNtQpUTv75Ip4pJC43rjHWoJXEX1gHG5UbVrO4J7yPVNItHQ==" saltValue="hPoNQxbc1Tcwl04VcJzA/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117</v>
      </c>
      <c r="C3" s="82"/>
      <c r="D3" s="82"/>
      <c r="E3" s="82"/>
      <c r="F3" s="82"/>
      <c r="G3" s="1"/>
    </row>
    <row r="4" spans="1:7" ht="1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06" t="s">
        <v>96</v>
      </c>
      <c r="C8" s="107"/>
      <c r="D8" s="107"/>
      <c r="E8" s="107"/>
      <c r="F8" s="108"/>
      <c r="G8" s="1"/>
    </row>
    <row r="9" spans="1:7" x14ac:dyDescent="0.25">
      <c r="A9" s="1"/>
      <c r="B9" s="44" t="s">
        <v>18</v>
      </c>
      <c r="C9" s="44" t="s">
        <v>12</v>
      </c>
      <c r="D9" s="45"/>
      <c r="E9" s="44" t="s">
        <v>34</v>
      </c>
      <c r="F9" s="62"/>
      <c r="G9" s="1"/>
    </row>
    <row r="10" spans="1:7" x14ac:dyDescent="0.25">
      <c r="A10" s="1"/>
      <c r="B10" s="25" t="s">
        <v>285</v>
      </c>
      <c r="C10" s="22">
        <v>0</v>
      </c>
      <c r="D10" s="14" t="s">
        <v>3</v>
      </c>
      <c r="E10" s="22">
        <v>0</v>
      </c>
      <c r="F10" s="14" t="s">
        <v>3</v>
      </c>
      <c r="G10" s="1"/>
    </row>
    <row r="11" spans="1:7" x14ac:dyDescent="0.25">
      <c r="A11" s="1"/>
      <c r="B11" s="36" t="s">
        <v>210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krav'!G11</f>
        <v>0</v>
      </c>
      <c r="D12" s="29" t="s">
        <v>3</v>
      </c>
      <c r="E12" s="28">
        <f>-E11*'Fane 5. Individuelt eff. krav'!G11</f>
        <v>0</v>
      </c>
      <c r="F12" s="29" t="s">
        <v>3</v>
      </c>
      <c r="G12" s="1"/>
    </row>
    <row r="13" spans="1:7" x14ac:dyDescent="0.25">
      <c r="A13" s="1"/>
      <c r="B13" s="27" t="s">
        <v>98</v>
      </c>
      <c r="C13" s="28">
        <f>-C11*'Fane 14. Nøgletal'!C29</f>
        <v>0</v>
      </c>
      <c r="D13" s="29" t="s">
        <v>3</v>
      </c>
      <c r="E13" s="28">
        <f>-E11*'Fane 14. Nøgletal'!C24</f>
        <v>0</v>
      </c>
      <c r="F13" s="29" t="s">
        <v>3</v>
      </c>
      <c r="G13" s="1"/>
    </row>
    <row r="14" spans="1:7" x14ac:dyDescent="0.25">
      <c r="A14" s="1"/>
      <c r="B14" s="36" t="s">
        <v>143</v>
      </c>
      <c r="C14" s="12">
        <f>SUM(C11:C13)*(1+'Fane 14. Nøgletal'!C14)^2</f>
        <v>0</v>
      </c>
      <c r="D14" s="13" t="s">
        <v>3</v>
      </c>
      <c r="E14" s="12">
        <f>SUM(E11:E13)*(1+'Fane 14.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06" t="s">
        <v>97</v>
      </c>
      <c r="C16" s="107"/>
      <c r="D16" s="107"/>
      <c r="E16" s="107"/>
      <c r="F16" s="108"/>
      <c r="G16" s="1"/>
    </row>
    <row r="17" spans="1:7" x14ac:dyDescent="0.25">
      <c r="A17" s="1"/>
      <c r="B17" s="44" t="s">
        <v>18</v>
      </c>
      <c r="C17" s="44" t="s">
        <v>12</v>
      </c>
      <c r="D17" s="45"/>
      <c r="E17" s="44" t="s">
        <v>34</v>
      </c>
      <c r="F17" s="62"/>
      <c r="G17" s="1"/>
    </row>
    <row r="18" spans="1:7" x14ac:dyDescent="0.25">
      <c r="A18" s="1"/>
      <c r="B18" s="25" t="s">
        <v>285</v>
      </c>
      <c r="C18" s="22">
        <v>0</v>
      </c>
      <c r="D18" s="14" t="s">
        <v>3</v>
      </c>
      <c r="E18" s="22">
        <v>0</v>
      </c>
      <c r="F18" s="14" t="s">
        <v>3</v>
      </c>
      <c r="G18" s="1"/>
    </row>
    <row r="19" spans="1:7" x14ac:dyDescent="0.25">
      <c r="A19" s="1"/>
      <c r="B19" s="36" t="s">
        <v>210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krav'!G11</f>
        <v>0</v>
      </c>
      <c r="D20" s="29" t="s">
        <v>3</v>
      </c>
      <c r="E20" s="28">
        <f>-E19*'Fane 5. Individuelt eff. krav'!G11</f>
        <v>0</v>
      </c>
      <c r="F20" s="29" t="s">
        <v>3</v>
      </c>
      <c r="G20" s="1"/>
    </row>
    <row r="21" spans="1:7" x14ac:dyDescent="0.25">
      <c r="A21" s="1"/>
      <c r="B21" s="27" t="s">
        <v>98</v>
      </c>
      <c r="C21" s="28">
        <f>-C19*'Fane 14. Nøgletal'!C29</f>
        <v>0</v>
      </c>
      <c r="D21" s="29" t="s">
        <v>3</v>
      </c>
      <c r="E21" s="28">
        <f>-E19*'Fane 14. Nøgletal'!C24</f>
        <v>0</v>
      </c>
      <c r="F21" s="29" t="s">
        <v>3</v>
      </c>
      <c r="G21" s="1"/>
    </row>
    <row r="22" spans="1:7" x14ac:dyDescent="0.25">
      <c r="A22" s="1"/>
      <c r="B22" s="36" t="s">
        <v>211</v>
      </c>
      <c r="C22" s="12">
        <f>SUM(C19:C21)*(1+'Fane 14. Nøgletal'!C14)^3</f>
        <v>0</v>
      </c>
      <c r="D22" s="13" t="s">
        <v>3</v>
      </c>
      <c r="E22" s="12">
        <f>SUM(E19:E21)*(1+'Fane 14.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06" t="s">
        <v>144</v>
      </c>
      <c r="C24" s="107"/>
      <c r="D24" s="107"/>
      <c r="E24" s="107"/>
      <c r="F24" s="108"/>
      <c r="G24" s="1"/>
    </row>
    <row r="25" spans="1:7" x14ac:dyDescent="0.25">
      <c r="A25" s="1"/>
      <c r="B25" s="44" t="s">
        <v>18</v>
      </c>
      <c r="C25" s="44" t="s">
        <v>12</v>
      </c>
      <c r="D25" s="45"/>
      <c r="E25" s="44" t="s">
        <v>34</v>
      </c>
      <c r="F25" s="62"/>
      <c r="G25" s="1"/>
    </row>
    <row r="26" spans="1:7" x14ac:dyDescent="0.25">
      <c r="A26" s="1"/>
      <c r="B26" s="25" t="s">
        <v>285</v>
      </c>
      <c r="C26" s="22">
        <v>0</v>
      </c>
      <c r="D26" s="14" t="s">
        <v>3</v>
      </c>
      <c r="E26" s="22">
        <v>0</v>
      </c>
      <c r="F26" s="14" t="s">
        <v>3</v>
      </c>
      <c r="G26" s="1"/>
    </row>
    <row r="27" spans="1:7" x14ac:dyDescent="0.25">
      <c r="A27" s="1"/>
      <c r="B27" s="36" t="s">
        <v>210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krav'!G11</f>
        <v>0</v>
      </c>
      <c r="D28" s="29" t="s">
        <v>3</v>
      </c>
      <c r="E28" s="28">
        <f>-E27*'Fane 5. Individuelt eff. krav'!G11</f>
        <v>0</v>
      </c>
      <c r="F28" s="29" t="s">
        <v>3</v>
      </c>
      <c r="G28" s="1"/>
    </row>
    <row r="29" spans="1:7" x14ac:dyDescent="0.25">
      <c r="A29" s="1"/>
      <c r="B29" s="27" t="s">
        <v>98</v>
      </c>
      <c r="C29" s="28">
        <f>-C27*'Fane 14. Nøgletal'!C29</f>
        <v>0</v>
      </c>
      <c r="D29" s="29" t="s">
        <v>3</v>
      </c>
      <c r="E29" s="28">
        <f>-E27*'Fane 14. Nøgletal'!C24</f>
        <v>0</v>
      </c>
      <c r="F29" s="29" t="s">
        <v>3</v>
      </c>
      <c r="G29" s="1"/>
    </row>
    <row r="30" spans="1:7" x14ac:dyDescent="0.25">
      <c r="A30" s="1"/>
      <c r="B30" s="36" t="s">
        <v>213</v>
      </c>
      <c r="C30" s="12">
        <f>SUM(C27:C29)*(1+'Fane 14. Nøgletal'!C14)^4</f>
        <v>0</v>
      </c>
      <c r="D30" s="13" t="s">
        <v>3</v>
      </c>
      <c r="E30" s="12">
        <f>SUM(E27:E29)*(1+'Fane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06" t="s">
        <v>212</v>
      </c>
      <c r="C32" s="107"/>
      <c r="D32" s="107"/>
      <c r="E32" s="107"/>
      <c r="F32" s="108"/>
      <c r="G32" s="1"/>
    </row>
    <row r="33" spans="1:7" x14ac:dyDescent="0.25">
      <c r="A33" s="1"/>
      <c r="B33" s="44" t="s">
        <v>18</v>
      </c>
      <c r="C33" s="44" t="s">
        <v>12</v>
      </c>
      <c r="D33" s="45"/>
      <c r="E33" s="44" t="s">
        <v>34</v>
      </c>
      <c r="F33" s="62"/>
      <c r="G33" s="1"/>
    </row>
    <row r="34" spans="1:7" x14ac:dyDescent="0.25">
      <c r="A34" s="1"/>
      <c r="B34" s="25" t="s">
        <v>285</v>
      </c>
      <c r="C34" s="22">
        <v>0</v>
      </c>
      <c r="D34" s="14" t="s">
        <v>3</v>
      </c>
      <c r="E34" s="22">
        <v>0</v>
      </c>
      <c r="F34" s="14" t="s">
        <v>3</v>
      </c>
      <c r="G34" s="1"/>
    </row>
    <row r="35" spans="1:7" x14ac:dyDescent="0.25">
      <c r="A35" s="1"/>
      <c r="B35" s="36" t="s">
        <v>210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krav'!G11</f>
        <v>0</v>
      </c>
      <c r="D36" s="29" t="s">
        <v>3</v>
      </c>
      <c r="E36" s="28">
        <f>-E35*'Fane 5. Individuelt eff. krav'!G11</f>
        <v>0</v>
      </c>
      <c r="F36" s="29" t="s">
        <v>3</v>
      </c>
      <c r="G36" s="1"/>
    </row>
    <row r="37" spans="1:7" x14ac:dyDescent="0.25">
      <c r="A37" s="1"/>
      <c r="B37" s="27" t="s">
        <v>98</v>
      </c>
      <c r="C37" s="28">
        <f>-C35*'Fane 14. Nøgletal'!C29</f>
        <v>0</v>
      </c>
      <c r="D37" s="29" t="s">
        <v>3</v>
      </c>
      <c r="E37" s="28">
        <f>-E35*'Fane 14. Nøgletal'!C24</f>
        <v>0</v>
      </c>
      <c r="F37" s="29" t="s">
        <v>3</v>
      </c>
      <c r="G37" s="1"/>
    </row>
    <row r="38" spans="1:7" x14ac:dyDescent="0.25">
      <c r="A38" s="1"/>
      <c r="B38" s="36" t="s">
        <v>214</v>
      </c>
      <c r="C38" s="12">
        <f>SUM(C35:C37)*(1+'Fane 14. Nøgletal'!C14)^5</f>
        <v>0</v>
      </c>
      <c r="D38" s="13" t="s">
        <v>3</v>
      </c>
      <c r="E38" s="12">
        <f>SUM(E35:E37)*(1+'Fane 14.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env3/NTPttitLNYSVgsaaL6CQlUvrdr94o/mwu9Or5cm0c5EeqeeX3rQQgcDXCZPGRzI3n/YraU5tG9q+jPG4Q==" saltValue="PnitxZOb9j+z3Xy/EJZoI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2" t="s">
        <v>127</v>
      </c>
      <c r="C3" s="102"/>
      <c r="D3" s="102"/>
      <c r="E3" s="102"/>
      <c r="F3" s="102"/>
      <c r="G3" s="1"/>
    </row>
    <row r="4" spans="1:7" ht="15" customHeight="1" x14ac:dyDescent="0.25">
      <c r="A4" s="1"/>
      <c r="B4" s="102"/>
      <c r="C4" s="102"/>
      <c r="D4" s="102"/>
      <c r="E4" s="102"/>
      <c r="F4" s="102"/>
      <c r="G4" s="1"/>
    </row>
    <row r="5" spans="1:7" x14ac:dyDescent="0.25">
      <c r="A5" s="1"/>
      <c r="B5" s="102"/>
      <c r="C5" s="102"/>
      <c r="D5" s="102"/>
      <c r="E5" s="102"/>
      <c r="F5" s="102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06" t="s">
        <v>87</v>
      </c>
      <c r="C8" s="107"/>
      <c r="D8" s="107"/>
      <c r="E8" s="107"/>
      <c r="F8" s="108"/>
      <c r="G8" s="1"/>
    </row>
    <row r="9" spans="1:7" x14ac:dyDescent="0.25">
      <c r="A9" s="1"/>
      <c r="B9" s="127" t="s">
        <v>215</v>
      </c>
      <c r="C9" s="128"/>
      <c r="D9" s="129"/>
      <c r="E9" s="9">
        <v>0</v>
      </c>
      <c r="F9" s="14" t="s">
        <v>3</v>
      </c>
      <c r="G9" s="1"/>
    </row>
    <row r="10" spans="1:7" x14ac:dyDescent="0.25">
      <c r="A10" s="1"/>
      <c r="B10" s="99" t="s">
        <v>10</v>
      </c>
      <c r="C10" s="100"/>
      <c r="D10" s="101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99" t="s">
        <v>27</v>
      </c>
      <c r="C11" s="100"/>
      <c r="D11" s="101"/>
      <c r="E11" s="9">
        <f>-E9*'Fane 14. Nøgletal'!C29</f>
        <v>0</v>
      </c>
      <c r="F11" s="14" t="s">
        <v>3</v>
      </c>
      <c r="G11" s="1"/>
    </row>
    <row r="12" spans="1:7" x14ac:dyDescent="0.25">
      <c r="A12" s="1"/>
      <c r="B12" s="106" t="s">
        <v>89</v>
      </c>
      <c r="C12" s="107"/>
      <c r="D12" s="108"/>
      <c r="E12" s="12">
        <f>SUM(E9:E11)*(1+'Fane 14. Nøgletal'!C14)^2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06" t="s">
        <v>88</v>
      </c>
      <c r="C14" s="107"/>
      <c r="D14" s="107"/>
      <c r="E14" s="107"/>
      <c r="F14" s="108"/>
      <c r="G14" s="1"/>
    </row>
    <row r="15" spans="1:7" x14ac:dyDescent="0.25">
      <c r="A15" s="1"/>
      <c r="B15" s="127" t="s">
        <v>215</v>
      </c>
      <c r="C15" s="128"/>
      <c r="D15" s="129"/>
      <c r="E15" s="9">
        <v>0</v>
      </c>
      <c r="F15" s="14" t="s">
        <v>3</v>
      </c>
      <c r="G15" s="1"/>
    </row>
    <row r="16" spans="1:7" x14ac:dyDescent="0.25">
      <c r="A16" s="1"/>
      <c r="B16" s="99" t="s">
        <v>10</v>
      </c>
      <c r="C16" s="100"/>
      <c r="D16" s="101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99" t="s">
        <v>27</v>
      </c>
      <c r="C17" s="100"/>
      <c r="D17" s="101"/>
      <c r="E17" s="9">
        <f>-E15*'Fane 14. Nøgletal'!C29</f>
        <v>0</v>
      </c>
      <c r="F17" s="14" t="s">
        <v>3</v>
      </c>
      <c r="G17" s="1"/>
    </row>
    <row r="18" spans="1:7" x14ac:dyDescent="0.25">
      <c r="A18" s="1"/>
      <c r="B18" s="106" t="s">
        <v>90</v>
      </c>
      <c r="C18" s="107"/>
      <c r="D18" s="108"/>
      <c r="E18" s="12">
        <f>SUM(E15:E17)*(1+'Fane 14. Nøgletal'!C14)^3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06" t="s">
        <v>145</v>
      </c>
      <c r="C20" s="107"/>
      <c r="D20" s="107"/>
      <c r="E20" s="107"/>
      <c r="F20" s="108"/>
      <c r="G20" s="1"/>
    </row>
    <row r="21" spans="1:7" x14ac:dyDescent="0.25">
      <c r="A21" s="1"/>
      <c r="B21" s="127" t="s">
        <v>215</v>
      </c>
      <c r="C21" s="128"/>
      <c r="D21" s="129"/>
      <c r="E21" s="9">
        <v>0</v>
      </c>
      <c r="F21" s="14" t="s">
        <v>3</v>
      </c>
      <c r="G21" s="1"/>
    </row>
    <row r="22" spans="1:7" x14ac:dyDescent="0.25">
      <c r="A22" s="1"/>
      <c r="B22" s="99" t="s">
        <v>10</v>
      </c>
      <c r="C22" s="100"/>
      <c r="D22" s="101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99" t="s">
        <v>27</v>
      </c>
      <c r="C23" s="100"/>
      <c r="D23" s="101"/>
      <c r="E23" s="9">
        <f>-E21*'Fane 14. Nøgletal'!C29</f>
        <v>0</v>
      </c>
      <c r="F23" s="14" t="s">
        <v>3</v>
      </c>
      <c r="G23" s="1"/>
    </row>
    <row r="24" spans="1:7" x14ac:dyDescent="0.25">
      <c r="A24" s="1"/>
      <c r="B24" s="106" t="s">
        <v>146</v>
      </c>
      <c r="C24" s="107"/>
      <c r="D24" s="108"/>
      <c r="E24" s="12">
        <f>SUM(E21:E23)*(1+'Fane 14. Nøgletal'!C14)^4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06" t="s">
        <v>216</v>
      </c>
      <c r="C26" s="107"/>
      <c r="D26" s="107"/>
      <c r="E26" s="107"/>
      <c r="F26" s="108"/>
      <c r="G26" s="1"/>
    </row>
    <row r="27" spans="1:7" x14ac:dyDescent="0.25">
      <c r="A27" s="1"/>
      <c r="B27" s="127" t="s">
        <v>215</v>
      </c>
      <c r="C27" s="128"/>
      <c r="D27" s="129"/>
      <c r="E27" s="9">
        <v>0</v>
      </c>
      <c r="F27" s="14" t="s">
        <v>3</v>
      </c>
      <c r="G27" s="1"/>
    </row>
    <row r="28" spans="1:7" x14ac:dyDescent="0.25">
      <c r="A28" s="1"/>
      <c r="B28" s="99" t="s">
        <v>10</v>
      </c>
      <c r="C28" s="100"/>
      <c r="D28" s="101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99" t="s">
        <v>27</v>
      </c>
      <c r="C29" s="100"/>
      <c r="D29" s="101"/>
      <c r="E29" s="9">
        <f>-E27*'Fane 14. Nøgletal'!C29</f>
        <v>0</v>
      </c>
      <c r="F29" s="14" t="s">
        <v>3</v>
      </c>
      <c r="G29" s="1"/>
    </row>
    <row r="30" spans="1:7" x14ac:dyDescent="0.25">
      <c r="A30" s="1"/>
      <c r="B30" s="106" t="s">
        <v>217</v>
      </c>
      <c r="C30" s="107"/>
      <c r="D30" s="108"/>
      <c r="E30" s="12">
        <f>SUM(E27:E29)*(1+'Fane 14. Nøgletal'!C14)^5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aNb0Vb/ERN0fiK+NDXZhlf1GCBv3jfEo+7KIwbrLbKcoAPr7ct5t7lB6Rg56gFP64/UF2JcfRSZX8njbtdfrCg==" saltValue="OIz2HbE8cwHRSgI3Dn7SjA==" spinCount="100000" sheet="1" objects="1" scenarios="1"/>
  <mergeCells count="21">
    <mergeCell ref="B3:F5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4" style="2" customWidth="1"/>
    <col min="4" max="4" width="3.28515625" style="2" customWidth="1"/>
    <col min="5" max="5" width="14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2" t="s">
        <v>147</v>
      </c>
      <c r="C3" s="102"/>
      <c r="D3" s="102"/>
      <c r="E3" s="102"/>
      <c r="F3" s="102"/>
      <c r="G3" s="1"/>
    </row>
    <row r="4" spans="1:7" ht="25.5" customHeight="1" x14ac:dyDescent="0.25">
      <c r="A4" s="1"/>
      <c r="B4" s="102"/>
      <c r="C4" s="102"/>
      <c r="D4" s="102"/>
      <c r="E4" s="102"/>
      <c r="F4" s="10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06" t="s">
        <v>148</v>
      </c>
      <c r="C8" s="107"/>
      <c r="D8" s="107"/>
      <c r="E8" s="107"/>
      <c r="F8" s="108"/>
      <c r="G8" s="1"/>
    </row>
    <row r="9" spans="1:7" ht="15" customHeight="1" x14ac:dyDescent="0.25">
      <c r="A9" s="1"/>
      <c r="B9" s="61" t="s">
        <v>149</v>
      </c>
      <c r="C9" s="87" t="s">
        <v>12</v>
      </c>
      <c r="D9" s="89"/>
      <c r="E9" s="130" t="s">
        <v>34</v>
      </c>
      <c r="F9" s="131"/>
      <c r="G9" s="1"/>
    </row>
    <row r="10" spans="1:7" x14ac:dyDescent="0.25">
      <c r="A10" s="1"/>
      <c r="B10" s="25" t="s">
        <v>266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150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218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A34u4HF5mRDhiJyNkdXvb2ojCYp1L5MZPVPCwuQKmSVHfvNTRXYDvh6yKhADLRa/msXr8/MQY9PocBnMuwhNSw==" saltValue="S/odakb/8GoVWQqwJBIdNQ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2" t="s">
        <v>116</v>
      </c>
      <c r="C3" s="102"/>
      <c r="D3" s="102"/>
      <c r="E3" s="102"/>
      <c r="F3" s="102"/>
      <c r="G3" s="1"/>
    </row>
    <row r="4" spans="1:7" ht="25.5" customHeight="1" x14ac:dyDescent="0.25">
      <c r="A4" s="1"/>
      <c r="B4" s="102"/>
      <c r="C4" s="102"/>
      <c r="D4" s="102"/>
      <c r="E4" s="102"/>
      <c r="F4" s="10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06" t="s">
        <v>91</v>
      </c>
      <c r="C8" s="107"/>
      <c r="D8" s="107"/>
      <c r="E8" s="107"/>
      <c r="F8" s="108"/>
      <c r="G8" s="1"/>
    </row>
    <row r="9" spans="1:7" ht="15" customHeight="1" x14ac:dyDescent="0.25">
      <c r="A9" s="1"/>
      <c r="B9" s="61" t="s">
        <v>19</v>
      </c>
      <c r="C9" s="61" t="s">
        <v>12</v>
      </c>
      <c r="D9" s="62"/>
      <c r="E9" s="61" t="s">
        <v>34</v>
      </c>
      <c r="F9" s="62"/>
      <c r="G9" s="1"/>
    </row>
    <row r="10" spans="1:7" x14ac:dyDescent="0.25">
      <c r="A10" s="1"/>
      <c r="B10" s="25" t="s">
        <v>271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6" t="s">
        <v>82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6" t="s">
        <v>83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06" t="s">
        <v>92</v>
      </c>
      <c r="C14" s="107"/>
      <c r="D14" s="107"/>
      <c r="E14" s="107"/>
      <c r="F14" s="108"/>
      <c r="G14" s="1"/>
    </row>
    <row r="15" spans="1:7" ht="26.25" x14ac:dyDescent="0.25">
      <c r="A15" s="1"/>
      <c r="B15" s="61" t="s">
        <v>19</v>
      </c>
      <c r="C15" s="61" t="s">
        <v>12</v>
      </c>
      <c r="D15" s="62"/>
      <c r="E15" s="61" t="s">
        <v>34</v>
      </c>
      <c r="F15" s="62"/>
      <c r="G15" s="1"/>
    </row>
    <row r="16" spans="1:7" x14ac:dyDescent="0.25">
      <c r="A16" s="1"/>
      <c r="B16" s="25" t="s">
        <v>271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6" t="s">
        <v>82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6" t="s">
        <v>84</v>
      </c>
      <c r="C18" s="12">
        <f>C17*(1+'Fane 14. Nøgletal'!C14)^2</f>
        <v>0</v>
      </c>
      <c r="D18" s="13" t="s">
        <v>3</v>
      </c>
      <c r="E18" s="12">
        <f>E17*(1+'Fane 14. Nøgletal'!C14)^2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06" t="s">
        <v>151</v>
      </c>
      <c r="C20" s="107"/>
      <c r="D20" s="107"/>
      <c r="E20" s="107"/>
      <c r="F20" s="108"/>
      <c r="G20" s="1"/>
    </row>
    <row r="21" spans="1:7" ht="26.25" x14ac:dyDescent="0.25">
      <c r="A21" s="1"/>
      <c r="B21" s="61" t="s">
        <v>19</v>
      </c>
      <c r="C21" s="61" t="s">
        <v>12</v>
      </c>
      <c r="D21" s="62"/>
      <c r="E21" s="61" t="s">
        <v>34</v>
      </c>
      <c r="F21" s="62"/>
      <c r="G21" s="1"/>
    </row>
    <row r="22" spans="1:7" x14ac:dyDescent="0.25">
      <c r="A22" s="1"/>
      <c r="B22" s="25" t="s">
        <v>271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6" t="s">
        <v>82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6" t="s">
        <v>152</v>
      </c>
      <c r="C24" s="12">
        <f>C23*(1+'Fane 14. Nøgletal'!C14)^3</f>
        <v>0</v>
      </c>
      <c r="D24" s="13" t="s">
        <v>3</v>
      </c>
      <c r="E24" s="12">
        <f>E23*(1+'Fane 14. Nøgletal'!C14)^3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06" t="s">
        <v>219</v>
      </c>
      <c r="C26" s="107"/>
      <c r="D26" s="107"/>
      <c r="E26" s="107"/>
      <c r="F26" s="108"/>
      <c r="G26" s="1"/>
    </row>
    <row r="27" spans="1:7" ht="26.25" x14ac:dyDescent="0.25">
      <c r="A27" s="1"/>
      <c r="B27" s="61" t="s">
        <v>19</v>
      </c>
      <c r="C27" s="61" t="s">
        <v>12</v>
      </c>
      <c r="D27" s="62"/>
      <c r="E27" s="61" t="s">
        <v>34</v>
      </c>
      <c r="F27" s="62"/>
      <c r="G27" s="1"/>
    </row>
    <row r="28" spans="1:7" x14ac:dyDescent="0.25">
      <c r="A28" s="1"/>
      <c r="B28" s="25" t="s">
        <v>271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6" t="s">
        <v>82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6" t="s">
        <v>220</v>
      </c>
      <c r="C30" s="12">
        <f>C29*(1+'Fane 14. Nøgletal'!C14)^4</f>
        <v>0</v>
      </c>
      <c r="D30" s="13" t="s">
        <v>3</v>
      </c>
      <c r="E30" s="12">
        <f>E29*(1+'Fane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OlpADTgftqB/t6xFTa+3KSYDC2i1LrbPh0t2vMU5OVITPScbjwFixnMDvVSjur78EcWm/PvH4cC1aQI4Z+5W1g==" saltValue="9PeuZ667d2Qlz8AX7z+gO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0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4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102" t="s">
        <v>173</v>
      </c>
      <c r="C3" s="102"/>
      <c r="D3" s="1"/>
    </row>
    <row r="4" spans="1:4" ht="25.5" customHeight="1" x14ac:dyDescent="0.25">
      <c r="A4" s="1"/>
      <c r="B4" s="102"/>
      <c r="C4" s="102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6" t="s">
        <v>15</v>
      </c>
      <c r="C8" s="20"/>
      <c r="D8" s="1"/>
    </row>
    <row r="9" spans="1:4" x14ac:dyDescent="0.25">
      <c r="A9" s="1"/>
      <c r="B9" s="58" t="s">
        <v>264</v>
      </c>
      <c r="C9" s="26">
        <v>1.2699999999999999E-2</v>
      </c>
      <c r="D9" s="1"/>
    </row>
    <row r="10" spans="1:4" x14ac:dyDescent="0.25">
      <c r="A10" s="1"/>
      <c r="B10" s="58" t="s">
        <v>122</v>
      </c>
      <c r="C10" s="26">
        <v>1.7500000000000002E-2</v>
      </c>
      <c r="D10" s="1"/>
    </row>
    <row r="11" spans="1:4" x14ac:dyDescent="0.25">
      <c r="A11" s="1"/>
      <c r="B11" s="58" t="s">
        <v>24</v>
      </c>
      <c r="C11" s="26">
        <v>1.6899999999999998E-2</v>
      </c>
      <c r="D11" s="1"/>
    </row>
    <row r="12" spans="1:4" x14ac:dyDescent="0.25">
      <c r="A12" s="1"/>
      <c r="B12" s="31" t="s">
        <v>45</v>
      </c>
      <c r="C12" s="26">
        <v>1.9699999999999999E-2</v>
      </c>
      <c r="D12" s="1"/>
    </row>
    <row r="13" spans="1:4" x14ac:dyDescent="0.25">
      <c r="A13" s="1"/>
      <c r="B13" s="31" t="s">
        <v>153</v>
      </c>
      <c r="C13" s="32">
        <v>1.2200000000000001E-2</v>
      </c>
      <c r="D13" s="1"/>
    </row>
    <row r="14" spans="1:4" x14ac:dyDescent="0.25">
      <c r="A14" s="1"/>
      <c r="B14" s="31" t="s">
        <v>283</v>
      </c>
      <c r="C14" s="32">
        <v>3.3E-3</v>
      </c>
      <c r="D14" s="1"/>
    </row>
    <row r="15" spans="1:4" x14ac:dyDescent="0.25">
      <c r="A15" s="1"/>
      <c r="B15" s="36"/>
      <c r="C15" s="20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36" t="s">
        <v>107</v>
      </c>
      <c r="C18" s="20"/>
      <c r="D18" s="1"/>
    </row>
    <row r="19" spans="1:4" x14ac:dyDescent="0.25">
      <c r="A19" s="1"/>
      <c r="B19" s="58" t="s">
        <v>265</v>
      </c>
      <c r="C19" s="23">
        <v>9.1000000000000004E-3</v>
      </c>
      <c r="D19" s="1"/>
    </row>
    <row r="20" spans="1:4" x14ac:dyDescent="0.25">
      <c r="A20" s="1"/>
      <c r="B20" s="58" t="s">
        <v>124</v>
      </c>
      <c r="C20" s="23">
        <v>1.77E-2</v>
      </c>
      <c r="D20" s="1"/>
    </row>
    <row r="21" spans="1:4" x14ac:dyDescent="0.25">
      <c r="A21" s="1"/>
      <c r="B21" s="58" t="s">
        <v>123</v>
      </c>
      <c r="C21" s="23">
        <v>8.6999999999999994E-3</v>
      </c>
      <c r="D21" s="1"/>
    </row>
    <row r="22" spans="1:4" x14ac:dyDescent="0.25">
      <c r="A22" s="1"/>
      <c r="B22" s="58" t="s">
        <v>125</v>
      </c>
      <c r="C22" s="23">
        <v>2.8400000000000002E-2</v>
      </c>
      <c r="D22" s="1"/>
    </row>
    <row r="23" spans="1:4" x14ac:dyDescent="0.25">
      <c r="A23" s="1"/>
      <c r="B23" s="58" t="s">
        <v>154</v>
      </c>
      <c r="C23" s="33">
        <v>2.75E-2</v>
      </c>
      <c r="D23" s="1"/>
    </row>
    <row r="24" spans="1:4" x14ac:dyDescent="0.25">
      <c r="A24" s="1"/>
      <c r="B24" s="58" t="s">
        <v>221</v>
      </c>
      <c r="C24" s="33">
        <v>1.4800000000000001E-2</v>
      </c>
      <c r="D24" s="1"/>
    </row>
    <row r="25" spans="1:4" x14ac:dyDescent="0.25">
      <c r="A25" s="1"/>
      <c r="B25" s="36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36" t="s">
        <v>106</v>
      </c>
      <c r="C28" s="20"/>
      <c r="D28" s="1"/>
    </row>
    <row r="29" spans="1:4" x14ac:dyDescent="0.25">
      <c r="A29" s="1"/>
      <c r="B29" s="58" t="s">
        <v>126</v>
      </c>
      <c r="C29" s="26">
        <v>0.02</v>
      </c>
      <c r="D29" s="1"/>
    </row>
    <row r="30" spans="1:4" x14ac:dyDescent="0.25">
      <c r="A30" s="1"/>
      <c r="B30" s="36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</sheetData>
  <sheetProtection algorithmName="SHA-512" hashValue="PqybZ2VsG0UQj05hZcyL6kXKjGmmZNvfc9bQxKv8JotQoSSbiWw9t9GmL0C8o6hnnERU3fGv7PexCdh49ihwKQ==" saltValue="iKX02vxVTZ66njH9tziaY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7.7109375" style="2" customWidth="1"/>
    <col min="3" max="3" width="12.2851562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2" t="s">
        <v>181</v>
      </c>
      <c r="C3" s="82"/>
      <c r="D3" s="82"/>
      <c r="E3" s="1"/>
    </row>
    <row r="4" spans="1:5" ht="15" customHeight="1" x14ac:dyDescent="0.25">
      <c r="A4" s="1"/>
      <c r="B4" s="82"/>
      <c r="C4" s="82"/>
      <c r="D4" s="82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6" t="s">
        <v>14</v>
      </c>
      <c r="C8" s="37"/>
      <c r="D8" s="20"/>
      <c r="E8" s="1"/>
    </row>
    <row r="9" spans="1:5" x14ac:dyDescent="0.25">
      <c r="A9" s="1"/>
      <c r="B9" s="41" t="s">
        <v>26</v>
      </c>
      <c r="C9" s="7">
        <f>'Fane 3. Omkostninger i ØR2021'!E24</f>
        <v>15661212.139622131</v>
      </c>
      <c r="D9" s="8" t="s">
        <v>3</v>
      </c>
      <c r="E9" s="1"/>
    </row>
    <row r="10" spans="1:5" ht="17.100000000000001" customHeight="1" x14ac:dyDescent="0.25">
      <c r="A10" s="1"/>
      <c r="B10" s="43" t="s">
        <v>43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25">
      <c r="A11" s="1"/>
      <c r="B11" s="43" t="s">
        <v>44</v>
      </c>
      <c r="C11" s="9">
        <f>'Fane 10.1. Varige tillæg'!E12</f>
        <v>0</v>
      </c>
      <c r="D11" s="8" t="s">
        <v>3</v>
      </c>
      <c r="E11" s="1"/>
    </row>
    <row r="12" spans="1:5" ht="17.100000000000001" customHeight="1" x14ac:dyDescent="0.25">
      <c r="A12" s="1"/>
      <c r="B12" s="43" t="s">
        <v>30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3" t="s">
        <v>29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3" t="s">
        <v>137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43" t="s">
        <v>138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43" t="s">
        <v>20</v>
      </c>
      <c r="C16" s="9">
        <f>SUM(C9:C15)*'Fane 14. Nøgletal'!C14</f>
        <v>51682.000060753031</v>
      </c>
      <c r="D16" s="8" t="s">
        <v>3</v>
      </c>
      <c r="E16" s="1"/>
    </row>
    <row r="17" spans="1:5" ht="17.100000000000001" customHeight="1" x14ac:dyDescent="0.25">
      <c r="A17" s="1"/>
      <c r="B17" s="43" t="s">
        <v>10</v>
      </c>
      <c r="C17" s="9">
        <f>-SUM(C9,C10:C16)*'Fane 5. Individuelt eff. krav'!G11</f>
        <v>0</v>
      </c>
      <c r="D17" s="8" t="s">
        <v>3</v>
      </c>
      <c r="E17" s="1"/>
    </row>
    <row r="18" spans="1:5" ht="17.100000000000001" customHeight="1" x14ac:dyDescent="0.25">
      <c r="A18" s="1"/>
      <c r="B18" s="43" t="s">
        <v>27</v>
      </c>
      <c r="C18" s="9">
        <f>-'Fane 4.1. Gen. krav - drift'!G42</f>
        <v>-183821.20722237133</v>
      </c>
      <c r="D18" s="8" t="s">
        <v>3</v>
      </c>
      <c r="E18" s="1"/>
    </row>
    <row r="19" spans="1:5" ht="15" customHeight="1" x14ac:dyDescent="0.25">
      <c r="A19" s="1"/>
      <c r="B19" s="43" t="s">
        <v>28</v>
      </c>
      <c r="C19" s="9">
        <f>-'Fane 4.2. Gen. krav - anlæg'!G41</f>
        <v>-96443.033791387294</v>
      </c>
      <c r="D19" s="8" t="s">
        <v>3</v>
      </c>
      <c r="E19" s="1"/>
    </row>
    <row r="20" spans="1:5" ht="15" customHeight="1" x14ac:dyDescent="0.25">
      <c r="A20" s="1"/>
      <c r="B20" s="49" t="s">
        <v>22</v>
      </c>
      <c r="C20" s="10">
        <f>SUM(C9,C10:C19)</f>
        <v>15432629.898669127</v>
      </c>
      <c r="D20" s="11" t="s">
        <v>3</v>
      </c>
      <c r="E20" s="1"/>
    </row>
    <row r="21" spans="1:5" ht="15" customHeight="1" x14ac:dyDescent="0.25">
      <c r="A21" s="1"/>
      <c r="B21" s="36" t="s">
        <v>13</v>
      </c>
      <c r="C21" s="37"/>
      <c r="D21" s="20"/>
      <c r="E21" s="1"/>
    </row>
    <row r="22" spans="1:5" ht="15" customHeight="1" x14ac:dyDescent="0.25">
      <c r="A22" s="1"/>
      <c r="B22" s="61" t="s">
        <v>13</v>
      </c>
      <c r="C22" s="10">
        <f>'Fane 6. Ikke-påvirkelige omk.'!C15+'Fane 6. Ikke-påvirkelige omk.'!C19+'Fane 6. Ikke-påvirkelige omk.'!C27</f>
        <v>3149356.3130489704</v>
      </c>
      <c r="D22" s="11" t="s">
        <v>3</v>
      </c>
      <c r="E22" s="1"/>
    </row>
    <row r="23" spans="1:5" ht="15" customHeight="1" x14ac:dyDescent="0.25">
      <c r="A23" s="1"/>
      <c r="B23" s="36" t="s">
        <v>78</v>
      </c>
      <c r="C23" s="37"/>
      <c r="D23" s="20"/>
      <c r="E23" s="1"/>
    </row>
    <row r="24" spans="1:5" ht="15" customHeight="1" x14ac:dyDescent="0.25">
      <c r="A24" s="1"/>
      <c r="B24" s="49" t="s">
        <v>78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36" t="s">
        <v>77</v>
      </c>
      <c r="C25" s="37"/>
      <c r="D25" s="20"/>
      <c r="E25" s="1"/>
    </row>
    <row r="26" spans="1:5" x14ac:dyDescent="0.25">
      <c r="A26" s="1"/>
      <c r="B26" s="43" t="s">
        <v>73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43" t="s">
        <v>74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49" t="s">
        <v>79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6" t="s">
        <v>180</v>
      </c>
      <c r="C29" s="37"/>
      <c r="D29" s="20"/>
      <c r="E29" s="1"/>
    </row>
    <row r="30" spans="1:5" x14ac:dyDescent="0.25">
      <c r="A30" s="1"/>
      <c r="B30" s="61" t="s">
        <v>180</v>
      </c>
      <c r="C30" s="10">
        <f>'Fane 8. Korrektion af ØR2020'!E21</f>
        <v>-901258.29434711731</v>
      </c>
      <c r="D30" s="11" t="s">
        <v>3</v>
      </c>
      <c r="E30" s="1"/>
    </row>
    <row r="31" spans="1:5" x14ac:dyDescent="0.25">
      <c r="A31" s="1"/>
      <c r="B31" s="36" t="s">
        <v>170</v>
      </c>
      <c r="C31" s="37"/>
      <c r="D31" s="20"/>
      <c r="E31" s="1"/>
    </row>
    <row r="32" spans="1:5" x14ac:dyDescent="0.25">
      <c r="A32" s="1"/>
      <c r="B32" s="61" t="s">
        <v>287</v>
      </c>
      <c r="C32" s="10">
        <f>'Fane 7. Kontrol af ØR2020'!E32</f>
        <v>-824271.21918305196</v>
      </c>
      <c r="D32" s="11" t="s">
        <v>3</v>
      </c>
      <c r="E32" s="1"/>
    </row>
    <row r="33" spans="1:5" x14ac:dyDescent="0.25">
      <c r="A33" s="1"/>
      <c r="B33" s="38" t="s">
        <v>262</v>
      </c>
      <c r="C33" s="37"/>
      <c r="D33" s="20"/>
      <c r="E33" s="1"/>
    </row>
    <row r="34" spans="1:5" x14ac:dyDescent="0.25">
      <c r="A34" s="1"/>
      <c r="B34" s="59" t="s">
        <v>263</v>
      </c>
      <c r="C34" s="10">
        <v>0</v>
      </c>
      <c r="D34" s="11" t="s">
        <v>3</v>
      </c>
      <c r="E34" s="1"/>
    </row>
    <row r="35" spans="1:5" x14ac:dyDescent="0.25">
      <c r="A35" s="1"/>
      <c r="B35" s="36" t="s">
        <v>32</v>
      </c>
      <c r="C35" s="12">
        <f>SUM(C20,C22,C24,C28,C30,C32,C34)</f>
        <v>16856456.698187925</v>
      </c>
      <c r="D35" s="13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MS0tNkmdZ0Yne3CUzLZaoYrsT/mZRX84R0B3+4sk7Zu/uMn2MpwVzK42eIahuHWhjjbAS2UpVq4yvPGZQvJZsA==" saltValue="79t3myqW6/kb7enERY7x8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7109375" style="2" customWidth="1"/>
    <col min="3" max="3" width="10.425781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2" t="s">
        <v>182</v>
      </c>
      <c r="C3" s="82"/>
      <c r="D3" s="82"/>
      <c r="E3" s="1"/>
    </row>
    <row r="4" spans="1:5" ht="15" customHeight="1" x14ac:dyDescent="0.25">
      <c r="A4" s="1"/>
      <c r="B4" s="82"/>
      <c r="C4" s="82"/>
      <c r="D4" s="82"/>
      <c r="E4" s="1"/>
    </row>
    <row r="5" spans="1:5" x14ac:dyDescent="0.25">
      <c r="A5" s="1"/>
      <c r="B5" s="83"/>
      <c r="C5" s="83"/>
      <c r="D5" s="8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6" t="s">
        <v>14</v>
      </c>
      <c r="C8" s="37"/>
      <c r="D8" s="20"/>
      <c r="E8" s="1"/>
    </row>
    <row r="9" spans="1:5" ht="15" customHeight="1" x14ac:dyDescent="0.25">
      <c r="A9" s="1"/>
      <c r="B9" s="41" t="s">
        <v>109</v>
      </c>
      <c r="C9" s="7">
        <f>'Fane 2.1. Økonomisk ramme 2022'!C20</f>
        <v>15432629.898669127</v>
      </c>
      <c r="D9" s="8" t="s">
        <v>3</v>
      </c>
      <c r="E9" s="1"/>
    </row>
    <row r="10" spans="1:5" ht="15" customHeight="1" x14ac:dyDescent="0.25">
      <c r="A10" s="1"/>
      <c r="B10" s="43" t="s">
        <v>30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3" t="s">
        <v>29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42" t="s">
        <v>20</v>
      </c>
      <c r="C12" s="9">
        <f>SUM(C9:C11)*'Fane 14. Nøgletal'!C14</f>
        <v>50927.678665608117</v>
      </c>
      <c r="D12" s="8" t="s">
        <v>3</v>
      </c>
      <c r="E12" s="1"/>
    </row>
    <row r="13" spans="1:5" ht="15" customHeight="1" x14ac:dyDescent="0.25">
      <c r="A13" s="1"/>
      <c r="B13" s="42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42" t="s">
        <v>27</v>
      </c>
      <c r="C14" s="9">
        <f>-'Fane 4.1. Gen. krav - drift'!G49</f>
        <v>-180739.26086208108</v>
      </c>
      <c r="D14" s="8" t="s">
        <v>3</v>
      </c>
      <c r="E14" s="1"/>
    </row>
    <row r="15" spans="1:5" ht="15" customHeight="1" x14ac:dyDescent="0.25">
      <c r="A15" s="1"/>
      <c r="B15" s="42" t="s">
        <v>28</v>
      </c>
      <c r="C15" s="9">
        <f>-'Fane 4.2. Gen. krav - anlæg'!G48</f>
        <v>-95329.228625015967</v>
      </c>
      <c r="D15" s="8" t="s">
        <v>3</v>
      </c>
      <c r="E15" s="1"/>
    </row>
    <row r="16" spans="1:5" ht="15" customHeight="1" x14ac:dyDescent="0.25">
      <c r="A16" s="1"/>
      <c r="B16" s="46" t="s">
        <v>22</v>
      </c>
      <c r="C16" s="10">
        <f>SUM(C9:C15)</f>
        <v>15207489.087847639</v>
      </c>
      <c r="D16" s="11" t="s">
        <v>3</v>
      </c>
      <c r="E16" s="1"/>
    </row>
    <row r="17" spans="1:5" ht="15" customHeight="1" x14ac:dyDescent="0.25">
      <c r="A17" s="1"/>
      <c r="B17" s="36" t="s">
        <v>13</v>
      </c>
      <c r="C17" s="37"/>
      <c r="D17" s="20"/>
      <c r="E17" s="1"/>
    </row>
    <row r="18" spans="1:5" ht="15" customHeight="1" x14ac:dyDescent="0.25">
      <c r="A18" s="1"/>
      <c r="B18" s="61" t="s">
        <v>13</v>
      </c>
      <c r="C18" s="10">
        <f>'Fane 6. Ikke-påvirkelige omk.'!C15*(1+'Fane 14. Nøgletal'!C14)+'Fane 6. Ikke-påvirkelige omk.'!C20+'Fane 6. Ikke-påvirkelige omk.'!C28</f>
        <v>3159749.1888820324</v>
      </c>
      <c r="D18" s="11" t="s">
        <v>3</v>
      </c>
      <c r="E18" s="1"/>
    </row>
    <row r="19" spans="1:5" ht="15" customHeight="1" x14ac:dyDescent="0.25">
      <c r="A19" s="1"/>
      <c r="B19" s="36" t="s">
        <v>78</v>
      </c>
      <c r="C19" s="37"/>
      <c r="D19" s="20"/>
      <c r="E19" s="1"/>
    </row>
    <row r="20" spans="1:5" ht="15" customHeight="1" x14ac:dyDescent="0.25">
      <c r="A20" s="1"/>
      <c r="B20" s="49" t="s">
        <v>78</v>
      </c>
      <c r="C20" s="10">
        <f>'Fane 11. Periodevise driftsomk.'!E18</f>
        <v>0</v>
      </c>
      <c r="D20" s="11" t="s">
        <v>3</v>
      </c>
      <c r="E20" s="1"/>
    </row>
    <row r="21" spans="1:5" x14ac:dyDescent="0.25">
      <c r="A21" s="1"/>
      <c r="B21" s="36" t="s">
        <v>77</v>
      </c>
      <c r="C21" s="37"/>
      <c r="D21" s="20"/>
      <c r="E21" s="1"/>
    </row>
    <row r="22" spans="1:5" ht="15" customHeight="1" x14ac:dyDescent="0.25">
      <c r="A22" s="1"/>
      <c r="B22" s="43" t="s">
        <v>73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3" t="s">
        <v>74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9" t="s">
        <v>79</v>
      </c>
      <c r="C24" s="10">
        <f>SUM(C22:C23)</f>
        <v>0</v>
      </c>
      <c r="D24" s="11" t="s">
        <v>3</v>
      </c>
      <c r="E24" s="1"/>
    </row>
    <row r="25" spans="1:5" ht="15" customHeight="1" x14ac:dyDescent="0.25">
      <c r="A25" s="1"/>
      <c r="B25" s="36" t="s">
        <v>171</v>
      </c>
      <c r="C25" s="37"/>
      <c r="D25" s="20"/>
      <c r="E25" s="1"/>
    </row>
    <row r="26" spans="1:5" ht="15" customHeight="1" x14ac:dyDescent="0.25">
      <c r="A26" s="1"/>
      <c r="B26" s="61" t="s">
        <v>287</v>
      </c>
      <c r="C26" s="10">
        <f>'Fane 7. Kontrol af ØR2020'!E32</f>
        <v>-824271.21918305196</v>
      </c>
      <c r="D26" s="11" t="s">
        <v>3</v>
      </c>
      <c r="E26" s="1"/>
    </row>
    <row r="27" spans="1:5" x14ac:dyDescent="0.25">
      <c r="A27" s="1"/>
      <c r="B27" s="38" t="s">
        <v>262</v>
      </c>
      <c r="C27" s="37"/>
      <c r="D27" s="20"/>
      <c r="E27" s="1"/>
    </row>
    <row r="28" spans="1:5" x14ac:dyDescent="0.25">
      <c r="A28" s="1"/>
      <c r="B28" s="59" t="s">
        <v>263</v>
      </c>
      <c r="C28" s="10">
        <v>0</v>
      </c>
      <c r="D28" s="11" t="s">
        <v>3</v>
      </c>
      <c r="E28" s="1"/>
    </row>
    <row r="29" spans="1:5" ht="15" customHeight="1" x14ac:dyDescent="0.25">
      <c r="A29" s="1"/>
      <c r="B29" s="36" t="s">
        <v>86</v>
      </c>
      <c r="C29" s="12">
        <f>SUM(C16,C18,C20,C24,C26,C28)</f>
        <v>17542967.057546623</v>
      </c>
      <c r="D29" s="13" t="s">
        <v>3</v>
      </c>
      <c r="E29" s="1"/>
    </row>
    <row r="30" spans="1:5" ht="15" customHeight="1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PkTgnyGv9ZMwTqcR2/JW29Hph43FddSHLbFKNAgEFP3GsFViNrHXbntPioEc3tBzadtaSZUsWV9ib9SLVOR+jw==" saltValue="h1epjPMsVtY9uQJ1Wfu+A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="110" zoomScaleNormal="100" zoomScalePageLayoutView="110" workbookViewId="0"/>
  </sheetViews>
  <sheetFormatPr defaultColWidth="9.140625" defaultRowHeight="15" x14ac:dyDescent="0.25"/>
  <cols>
    <col min="1" max="1" width="5.140625" style="2" customWidth="1"/>
    <col min="2" max="2" width="63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2" t="s">
        <v>183</v>
      </c>
      <c r="C3" s="82"/>
      <c r="D3" s="82"/>
      <c r="E3" s="1"/>
    </row>
    <row r="4" spans="1:5" ht="15" customHeight="1" x14ac:dyDescent="0.25">
      <c r="A4" s="1"/>
      <c r="B4" s="82"/>
      <c r="C4" s="82"/>
      <c r="D4" s="82"/>
      <c r="E4" s="1"/>
    </row>
    <row r="5" spans="1:5" x14ac:dyDescent="0.25">
      <c r="A5" s="1"/>
      <c r="B5" s="83" t="s">
        <v>23</v>
      </c>
      <c r="C5" s="83"/>
      <c r="D5" s="8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6" t="s">
        <v>14</v>
      </c>
      <c r="C7" s="37"/>
      <c r="D7" s="20"/>
      <c r="E7" s="1"/>
    </row>
    <row r="8" spans="1:5" ht="15" customHeight="1" x14ac:dyDescent="0.25">
      <c r="A8" s="1"/>
      <c r="B8" s="41" t="s">
        <v>139</v>
      </c>
      <c r="C8" s="7">
        <f>'Fane 2.2. Økonomisk ramme 2023'!C16</f>
        <v>15207489.087847639</v>
      </c>
      <c r="D8" s="8" t="s">
        <v>3</v>
      </c>
      <c r="E8" s="1"/>
    </row>
    <row r="9" spans="1:5" ht="15" customHeight="1" x14ac:dyDescent="0.25">
      <c r="A9" s="1"/>
      <c r="B9" s="41" t="s">
        <v>30</v>
      </c>
      <c r="C9" s="7">
        <f>-'Fane 13. Bortfald'!C24</f>
        <v>0</v>
      </c>
      <c r="D9" s="8" t="s">
        <v>3</v>
      </c>
      <c r="E9" s="1"/>
    </row>
    <row r="10" spans="1:5" ht="15" customHeight="1" x14ac:dyDescent="0.25">
      <c r="A10" s="1"/>
      <c r="B10" s="41" t="s">
        <v>29</v>
      </c>
      <c r="C10" s="7">
        <f>-'Fane 13. Bortfald'!E24</f>
        <v>0</v>
      </c>
      <c r="D10" s="8" t="s">
        <v>3</v>
      </c>
      <c r="E10" s="1"/>
    </row>
    <row r="11" spans="1:5" ht="15" customHeight="1" x14ac:dyDescent="0.25">
      <c r="A11" s="1"/>
      <c r="B11" s="42" t="s">
        <v>20</v>
      </c>
      <c r="C11" s="9">
        <f>SUM(C8:C10)*'Fane 14. Nøgletal'!C14</f>
        <v>50184.713989897209</v>
      </c>
      <c r="D11" s="8" t="s">
        <v>3</v>
      </c>
      <c r="E11" s="1"/>
    </row>
    <row r="12" spans="1:5" ht="15" customHeight="1" x14ac:dyDescent="0.25">
      <c r="A12" s="1"/>
      <c r="B12" s="42" t="s">
        <v>10</v>
      </c>
      <c r="C12" s="9">
        <f>-SUM(C8:C11)*'Fane 5. Individuelt eff. krav'!G11</f>
        <v>0</v>
      </c>
      <c r="D12" s="8" t="s">
        <v>3</v>
      </c>
      <c r="E12" s="1"/>
    </row>
    <row r="13" spans="1:5" ht="15" customHeight="1" x14ac:dyDescent="0.25">
      <c r="A13" s="1"/>
      <c r="B13" s="42" t="s">
        <v>27</v>
      </c>
      <c r="C13" s="9">
        <f>-'Fane 4.1. Gen. krav - drift'!G56</f>
        <v>-177708.98641446748</v>
      </c>
      <c r="D13" s="8" t="s">
        <v>3</v>
      </c>
      <c r="E13" s="1"/>
    </row>
    <row r="14" spans="1:5" ht="15" customHeight="1" x14ac:dyDescent="0.25">
      <c r="A14" s="1"/>
      <c r="B14" s="42" t="s">
        <v>28</v>
      </c>
      <c r="C14" s="9">
        <f>-'Fane 4.2. Gen. krav - anlæg'!G54</f>
        <v>-94228.286616302241</v>
      </c>
      <c r="D14" s="8" t="s">
        <v>3</v>
      </c>
      <c r="E14" s="1"/>
    </row>
    <row r="15" spans="1:5" x14ac:dyDescent="0.25">
      <c r="A15" s="1"/>
      <c r="B15" s="46" t="s">
        <v>22</v>
      </c>
      <c r="C15" s="10">
        <f>SUM(C8:C14)</f>
        <v>14985736.528806765</v>
      </c>
      <c r="D15" s="11" t="s">
        <v>3</v>
      </c>
      <c r="E15" s="1"/>
    </row>
    <row r="16" spans="1:5" x14ac:dyDescent="0.25">
      <c r="A16" s="1"/>
      <c r="B16" s="36" t="s">
        <v>13</v>
      </c>
      <c r="C16" s="37"/>
      <c r="D16" s="20"/>
      <c r="E16" s="1"/>
    </row>
    <row r="17" spans="1:5" ht="15" customHeight="1" x14ac:dyDescent="0.25">
      <c r="A17" s="1"/>
      <c r="B17" s="61" t="s">
        <v>13</v>
      </c>
      <c r="C17" s="10">
        <f>'Fane 6. Ikke-påvirkelige omk.'!C15*(1+'Fane 14. Nøgletal'!C14)^2+'Fane 6. Ikke-påvirkelige omk.'!C21+'Fane 6. Ikke-påvirkelige omk.'!C29</f>
        <v>3170176.3612053432</v>
      </c>
      <c r="D17" s="11" t="s">
        <v>3</v>
      </c>
      <c r="E17" s="1"/>
    </row>
    <row r="18" spans="1:5" ht="15" customHeight="1" x14ac:dyDescent="0.25">
      <c r="A18" s="1"/>
      <c r="B18" s="36" t="s">
        <v>78</v>
      </c>
      <c r="C18" s="37"/>
      <c r="D18" s="20"/>
      <c r="E18" s="1"/>
    </row>
    <row r="19" spans="1:5" ht="15" customHeight="1" x14ac:dyDescent="0.25">
      <c r="A19" s="1"/>
      <c r="B19" s="49" t="s">
        <v>78</v>
      </c>
      <c r="C19" s="10">
        <f>'Fane 11. Periodevise driftsomk.'!E24</f>
        <v>0</v>
      </c>
      <c r="D19" s="11" t="s">
        <v>3</v>
      </c>
      <c r="E19" s="1"/>
    </row>
    <row r="20" spans="1:5" ht="15" customHeight="1" x14ac:dyDescent="0.25">
      <c r="A20" s="1"/>
      <c r="B20" s="36" t="s">
        <v>77</v>
      </c>
      <c r="C20" s="37"/>
      <c r="D20" s="20"/>
      <c r="E20" s="1"/>
    </row>
    <row r="21" spans="1:5" ht="15" customHeight="1" x14ac:dyDescent="0.25">
      <c r="A21" s="1"/>
      <c r="B21" s="43" t="s">
        <v>73</v>
      </c>
      <c r="C21" s="9">
        <f>'Fane 10.2. Engangstillæg'!C30</f>
        <v>0</v>
      </c>
      <c r="D21" s="8" t="s">
        <v>3</v>
      </c>
      <c r="E21" s="1"/>
    </row>
    <row r="22" spans="1:5" ht="15" customHeight="1" x14ac:dyDescent="0.25">
      <c r="A22" s="1"/>
      <c r="B22" s="43" t="s">
        <v>74</v>
      </c>
      <c r="C22" s="9">
        <f>'Fane 10.2. Engangstillæg'!E30</f>
        <v>0</v>
      </c>
      <c r="D22" s="8" t="s">
        <v>3</v>
      </c>
      <c r="E22" s="1"/>
    </row>
    <row r="23" spans="1:5" ht="15" customHeight="1" x14ac:dyDescent="0.25">
      <c r="A23" s="1"/>
      <c r="B23" s="49" t="s">
        <v>79</v>
      </c>
      <c r="C23" s="10">
        <f>SUM(C21:C22)</f>
        <v>0</v>
      </c>
      <c r="D23" s="11" t="s">
        <v>3</v>
      </c>
      <c r="E23" s="1"/>
    </row>
    <row r="24" spans="1:5" x14ac:dyDescent="0.25">
      <c r="A24" s="1"/>
      <c r="B24" s="38" t="s">
        <v>262</v>
      </c>
      <c r="C24" s="37"/>
      <c r="D24" s="20"/>
      <c r="E24" s="1"/>
    </row>
    <row r="25" spans="1:5" x14ac:dyDescent="0.25">
      <c r="A25" s="1"/>
      <c r="B25" s="59" t="s">
        <v>263</v>
      </c>
      <c r="C25" s="10">
        <v>0</v>
      </c>
      <c r="D25" s="11" t="s">
        <v>3</v>
      </c>
      <c r="E25" s="1"/>
    </row>
    <row r="26" spans="1:5" x14ac:dyDescent="0.25">
      <c r="A26" s="1"/>
      <c r="B26" s="36" t="s">
        <v>140</v>
      </c>
      <c r="C26" s="12">
        <f>SUM(C15,C17,C19,C23,C25)</f>
        <v>18155912.890012108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7dVQdsV4cCrTrwMQFkyEWgetDQ3uX4RY5in23J0XWaUgW68RHr75fR1wOUU13+tKxGrHNDrirXJVzEsMCl0mJg==" saltValue="smVtSK7LLAD6S4hI4oYnL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8554687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2" t="s">
        <v>184</v>
      </c>
      <c r="C3" s="82"/>
      <c r="D3" s="82"/>
      <c r="E3" s="1"/>
    </row>
    <row r="4" spans="1:5" ht="15" customHeight="1" x14ac:dyDescent="0.25">
      <c r="A4" s="1"/>
      <c r="B4" s="82"/>
      <c r="C4" s="82"/>
      <c r="D4" s="82"/>
      <c r="E4" s="1"/>
    </row>
    <row r="5" spans="1:5" x14ac:dyDescent="0.25">
      <c r="A5" s="1"/>
      <c r="B5" s="83" t="s">
        <v>23</v>
      </c>
      <c r="C5" s="83"/>
      <c r="D5" s="8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6" t="s">
        <v>14</v>
      </c>
      <c r="C7" s="37"/>
      <c r="D7" s="20"/>
      <c r="E7" s="1"/>
    </row>
    <row r="8" spans="1:5" ht="15" customHeight="1" x14ac:dyDescent="0.25">
      <c r="A8" s="1"/>
      <c r="B8" s="41" t="s">
        <v>185</v>
      </c>
      <c r="C8" s="7">
        <f>'Fane 2.3. Økonomisk ramme 2024'!C15</f>
        <v>14985736.528806765</v>
      </c>
      <c r="D8" s="8" t="s">
        <v>3</v>
      </c>
      <c r="E8" s="1"/>
    </row>
    <row r="9" spans="1:5" ht="15" customHeight="1" x14ac:dyDescent="0.25">
      <c r="A9" s="1"/>
      <c r="B9" s="41" t="s">
        <v>30</v>
      </c>
      <c r="C9" s="7">
        <f>-'Fane 13. Bortfald'!C30</f>
        <v>0</v>
      </c>
      <c r="D9" s="8" t="s">
        <v>3</v>
      </c>
      <c r="E9" s="1"/>
    </row>
    <row r="10" spans="1:5" ht="15" customHeight="1" x14ac:dyDescent="0.25">
      <c r="A10" s="1"/>
      <c r="B10" s="41" t="s">
        <v>29</v>
      </c>
      <c r="C10" s="7">
        <f>-'Fane 13. Bortfald'!E30</f>
        <v>0</v>
      </c>
      <c r="D10" s="8" t="s">
        <v>3</v>
      </c>
      <c r="E10" s="1"/>
    </row>
    <row r="11" spans="1:5" ht="15" customHeight="1" x14ac:dyDescent="0.25">
      <c r="A11" s="1"/>
      <c r="B11" s="42" t="s">
        <v>20</v>
      </c>
      <c r="C11" s="9">
        <f>SUM(C8:C10)*'Fane 14. Nøgletal'!C14</f>
        <v>49452.930545062321</v>
      </c>
      <c r="D11" s="8" t="s">
        <v>3</v>
      </c>
      <c r="E11" s="1"/>
    </row>
    <row r="12" spans="1:5" ht="15" customHeight="1" x14ac:dyDescent="0.25">
      <c r="A12" s="1"/>
      <c r="B12" s="42" t="s">
        <v>10</v>
      </c>
      <c r="C12" s="9">
        <f>-SUM(C8:C11)*'Fane 5. Individuelt eff. krav'!G11</f>
        <v>0</v>
      </c>
      <c r="D12" s="8" t="s">
        <v>3</v>
      </c>
      <c r="E12" s="1"/>
    </row>
    <row r="13" spans="1:5" ht="15" customHeight="1" x14ac:dyDescent="0.25">
      <c r="A13" s="1"/>
      <c r="B13" s="42" t="s">
        <v>27</v>
      </c>
      <c r="C13" s="9">
        <f>-'Fane 4.1. Gen. krav - drift'!G62</f>
        <v>-174729.51754824253</v>
      </c>
      <c r="D13" s="8" t="s">
        <v>3</v>
      </c>
      <c r="E13" s="1"/>
    </row>
    <row r="14" spans="1:5" ht="15" customHeight="1" x14ac:dyDescent="0.25">
      <c r="A14" s="1"/>
      <c r="B14" s="42" t="s">
        <v>28</v>
      </c>
      <c r="C14" s="9">
        <f>-'Fane 4.2. Gen. krav - anlæg'!G60</f>
        <v>-93140.059210696432</v>
      </c>
      <c r="D14" s="8" t="s">
        <v>3</v>
      </c>
      <c r="E14" s="1"/>
    </row>
    <row r="15" spans="1:5" x14ac:dyDescent="0.25">
      <c r="A15" s="1"/>
      <c r="B15" s="46" t="s">
        <v>22</v>
      </c>
      <c r="C15" s="10">
        <f>SUM(C8:C14)</f>
        <v>14767319.882592887</v>
      </c>
      <c r="D15" s="11" t="s">
        <v>3</v>
      </c>
      <c r="E15" s="1"/>
    </row>
    <row r="16" spans="1:5" x14ac:dyDescent="0.25">
      <c r="A16" s="1"/>
      <c r="B16" s="36" t="s">
        <v>13</v>
      </c>
      <c r="C16" s="37"/>
      <c r="D16" s="20"/>
      <c r="E16" s="1"/>
    </row>
    <row r="17" spans="1:5" ht="15" customHeight="1" x14ac:dyDescent="0.25">
      <c r="A17" s="1"/>
      <c r="B17" s="61" t="s">
        <v>13</v>
      </c>
      <c r="C17" s="10">
        <f>'Fane 6. Ikke-påvirkelige omk.'!C15*(1+'Fane 14. Nøgletal'!C14)^3+'Fane 6. Ikke-påvirkelige omk.'!C22+'Fane 6. Ikke-påvirkelige omk.'!C30</f>
        <v>3180637.9431973211</v>
      </c>
      <c r="D17" s="11" t="s">
        <v>3</v>
      </c>
      <c r="E17" s="1"/>
    </row>
    <row r="18" spans="1:5" ht="15" customHeight="1" x14ac:dyDescent="0.25">
      <c r="A18" s="1"/>
      <c r="B18" s="36" t="s">
        <v>78</v>
      </c>
      <c r="C18" s="37"/>
      <c r="D18" s="20"/>
      <c r="E18" s="1"/>
    </row>
    <row r="19" spans="1:5" ht="15" customHeight="1" x14ac:dyDescent="0.25">
      <c r="A19" s="1"/>
      <c r="B19" s="49" t="s">
        <v>78</v>
      </c>
      <c r="C19" s="10">
        <f>'Fane 11. Periodevise driftsomk.'!E30</f>
        <v>0</v>
      </c>
      <c r="D19" s="11" t="s">
        <v>3</v>
      </c>
      <c r="E19" s="1"/>
    </row>
    <row r="20" spans="1:5" ht="15" customHeight="1" x14ac:dyDescent="0.25">
      <c r="A20" s="1"/>
      <c r="B20" s="36" t="s">
        <v>77</v>
      </c>
      <c r="C20" s="37"/>
      <c r="D20" s="20"/>
      <c r="E20" s="1"/>
    </row>
    <row r="21" spans="1:5" ht="15" customHeight="1" x14ac:dyDescent="0.25">
      <c r="A21" s="1"/>
      <c r="B21" s="43" t="s">
        <v>73</v>
      </c>
      <c r="C21" s="9">
        <f>'Fane 10.2. Engangstillæg'!C38</f>
        <v>0</v>
      </c>
      <c r="D21" s="8" t="s">
        <v>3</v>
      </c>
      <c r="E21" s="1"/>
    </row>
    <row r="22" spans="1:5" ht="15" customHeight="1" x14ac:dyDescent="0.25">
      <c r="A22" s="1"/>
      <c r="B22" s="43" t="s">
        <v>74</v>
      </c>
      <c r="C22" s="9">
        <f>'Fane 10.2. Engangstillæg'!E38</f>
        <v>0</v>
      </c>
      <c r="D22" s="8" t="s">
        <v>3</v>
      </c>
      <c r="E22" s="1"/>
    </row>
    <row r="23" spans="1:5" ht="15" customHeight="1" x14ac:dyDescent="0.25">
      <c r="A23" s="1"/>
      <c r="B23" s="49" t="s">
        <v>79</v>
      </c>
      <c r="C23" s="10">
        <f>SUM(C21:C22)</f>
        <v>0</v>
      </c>
      <c r="D23" s="11" t="s">
        <v>3</v>
      </c>
      <c r="E23" s="1"/>
    </row>
    <row r="24" spans="1:5" ht="15" customHeight="1" x14ac:dyDescent="0.25">
      <c r="A24" s="1"/>
      <c r="B24" s="36" t="s">
        <v>186</v>
      </c>
      <c r="C24" s="12">
        <f>SUM(C15,C17,C19,C23)</f>
        <v>17947957.825790208</v>
      </c>
      <c r="D24" s="13" t="s">
        <v>3</v>
      </c>
      <c r="E24" s="1"/>
    </row>
    <row r="25" spans="1:5" ht="15" customHeight="1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djLq7FQYIJoyNvia202b9bLgRmJggkm+EXRDLLFL8tPc43tpIbBv6s84oSbHERYmckIe4cF0aZbC/AbLR4uQsg==" saltValue="hwdAauJKNbDOSBN/Md4/U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3"/>
  <sheetViews>
    <sheetView showGridLines="0" view="pageLayout" zoomScaleNormal="100" workbookViewId="0"/>
  </sheetViews>
  <sheetFormatPr defaultColWidth="9" defaultRowHeight="15" x14ac:dyDescent="0.25"/>
  <cols>
    <col min="1" max="1" width="7.85546875" style="2" customWidth="1"/>
    <col min="2" max="2" width="12.140625" style="2" customWidth="1"/>
    <col min="3" max="3" width="12" style="2" customWidth="1"/>
    <col min="4" max="4" width="31.7109375" style="2" customWidth="1"/>
    <col min="5" max="5" width="10.85546875" style="2" bestFit="1" customWidth="1"/>
    <col min="6" max="6" width="3.5703125" style="2" bestFit="1" customWidth="1"/>
    <col min="7" max="7" width="7.8554687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2" t="s">
        <v>187</v>
      </c>
      <c r="C3" s="102"/>
      <c r="D3" s="102"/>
      <c r="E3" s="102"/>
      <c r="F3" s="102"/>
      <c r="G3" s="1"/>
    </row>
    <row r="4" spans="1:7" ht="29.25" customHeight="1" x14ac:dyDescent="0.25">
      <c r="A4" s="1"/>
      <c r="B4" s="102"/>
      <c r="C4" s="102"/>
      <c r="D4" s="102"/>
      <c r="E4" s="102"/>
      <c r="F4" s="10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6" t="s">
        <v>188</v>
      </c>
      <c r="C8" s="37"/>
      <c r="D8" s="37"/>
      <c r="E8" s="37"/>
      <c r="F8" s="20"/>
      <c r="G8" s="1"/>
    </row>
    <row r="9" spans="1:7" x14ac:dyDescent="0.25">
      <c r="A9" s="1"/>
      <c r="B9" s="103" t="s">
        <v>25</v>
      </c>
      <c r="C9" s="104"/>
      <c r="D9" s="105"/>
      <c r="E9" s="7">
        <v>14543177.804833017</v>
      </c>
      <c r="F9" s="8" t="s">
        <v>3</v>
      </c>
      <c r="G9" s="1"/>
    </row>
    <row r="10" spans="1:7" ht="14.25" customHeight="1" x14ac:dyDescent="0.25">
      <c r="A10" s="1"/>
      <c r="B10" s="99" t="s">
        <v>227</v>
      </c>
      <c r="C10" s="100"/>
      <c r="D10" s="101"/>
      <c r="E10" s="7">
        <v>0</v>
      </c>
      <c r="F10" s="8" t="s">
        <v>3</v>
      </c>
      <c r="G10" s="1"/>
    </row>
    <row r="11" spans="1:7" ht="14.25" customHeight="1" x14ac:dyDescent="0.25">
      <c r="A11" s="1"/>
      <c r="B11" s="99" t="s">
        <v>228</v>
      </c>
      <c r="C11" s="100"/>
      <c r="D11" s="101"/>
      <c r="E11" s="7">
        <v>66547.358538341854</v>
      </c>
      <c r="F11" s="8" t="s">
        <v>3</v>
      </c>
      <c r="G11" s="1"/>
    </row>
    <row r="12" spans="1:7" x14ac:dyDescent="0.25">
      <c r="A12" s="1"/>
      <c r="B12" s="99" t="s">
        <v>189</v>
      </c>
      <c r="C12" s="100"/>
      <c r="D12" s="101"/>
      <c r="E12" s="9">
        <v>0</v>
      </c>
      <c r="F12" s="8" t="s">
        <v>3</v>
      </c>
      <c r="G12" s="1"/>
    </row>
    <row r="13" spans="1:7" x14ac:dyDescent="0.25">
      <c r="A13" s="1"/>
      <c r="B13" s="99" t="s">
        <v>190</v>
      </c>
      <c r="C13" s="100"/>
      <c r="D13" s="101"/>
      <c r="E13" s="9">
        <v>598394.99210145837</v>
      </c>
      <c r="F13" s="8" t="s">
        <v>3</v>
      </c>
      <c r="G13" s="1"/>
    </row>
    <row r="14" spans="1:7" x14ac:dyDescent="0.25">
      <c r="A14" s="1"/>
      <c r="B14" s="90" t="s">
        <v>43</v>
      </c>
      <c r="C14" s="91"/>
      <c r="D14" s="92"/>
      <c r="E14" s="9">
        <v>0</v>
      </c>
      <c r="F14" s="8" t="s">
        <v>3</v>
      </c>
      <c r="G14" s="1"/>
    </row>
    <row r="15" spans="1:7" x14ac:dyDescent="0.25">
      <c r="A15" s="1"/>
      <c r="B15" s="90" t="s">
        <v>44</v>
      </c>
      <c r="C15" s="91"/>
      <c r="D15" s="92"/>
      <c r="E15" s="9">
        <v>1169808.6498</v>
      </c>
      <c r="F15" s="8" t="s">
        <v>3</v>
      </c>
      <c r="G15" s="1"/>
    </row>
    <row r="16" spans="1:7" x14ac:dyDescent="0.25">
      <c r="A16" s="1"/>
      <c r="B16" s="90" t="s">
        <v>30</v>
      </c>
      <c r="C16" s="91"/>
      <c r="D16" s="92"/>
      <c r="E16" s="9">
        <v>0</v>
      </c>
      <c r="F16" s="8" t="s">
        <v>3</v>
      </c>
      <c r="G16" s="1"/>
    </row>
    <row r="17" spans="1:7" x14ac:dyDescent="0.25">
      <c r="A17" s="1"/>
      <c r="B17" s="90" t="s">
        <v>29</v>
      </c>
      <c r="C17" s="91"/>
      <c r="D17" s="92"/>
      <c r="E17" s="9">
        <v>0</v>
      </c>
      <c r="F17" s="8" t="s">
        <v>3</v>
      </c>
      <c r="G17" s="1"/>
    </row>
    <row r="18" spans="1:7" x14ac:dyDescent="0.25">
      <c r="A18" s="1"/>
      <c r="B18" s="90" t="s">
        <v>137</v>
      </c>
      <c r="C18" s="91"/>
      <c r="D18" s="92"/>
      <c r="E18" s="9">
        <v>0</v>
      </c>
      <c r="F18" s="8" t="s">
        <v>3</v>
      </c>
      <c r="G18" s="1"/>
    </row>
    <row r="19" spans="1:7" x14ac:dyDescent="0.25">
      <c r="A19" s="1"/>
      <c r="B19" s="90" t="s">
        <v>138</v>
      </c>
      <c r="C19" s="91"/>
      <c r="D19" s="92"/>
      <c r="E19" s="9">
        <v>0</v>
      </c>
      <c r="F19" s="8" t="s">
        <v>3</v>
      </c>
      <c r="G19" s="1"/>
    </row>
    <row r="20" spans="1:7" x14ac:dyDescent="0.25">
      <c r="A20" s="1"/>
      <c r="B20" s="90" t="s">
        <v>20</v>
      </c>
      <c r="C20" s="91"/>
      <c r="D20" s="92"/>
      <c r="E20" s="9">
        <v>270053.81767963804</v>
      </c>
      <c r="F20" s="8" t="s">
        <v>3</v>
      </c>
      <c r="G20" s="1"/>
    </row>
    <row r="21" spans="1:7" x14ac:dyDescent="0.25">
      <c r="A21" s="1"/>
      <c r="B21" s="90" t="s">
        <v>10</v>
      </c>
      <c r="C21" s="91"/>
      <c r="D21" s="92"/>
      <c r="E21" s="9">
        <v>0</v>
      </c>
      <c r="F21" s="8" t="s">
        <v>3</v>
      </c>
      <c r="G21" s="1"/>
    </row>
    <row r="22" spans="1:7" x14ac:dyDescent="0.25">
      <c r="A22" s="1"/>
      <c r="B22" s="90" t="s">
        <v>27</v>
      </c>
      <c r="C22" s="91"/>
      <c r="D22" s="92"/>
      <c r="E22" s="9">
        <f>-'Fane 4.1. Gen. krav - drift'!G36</f>
        <v>-186955.70659921371</v>
      </c>
      <c r="F22" s="8" t="s">
        <v>3</v>
      </c>
      <c r="G22" s="1"/>
    </row>
    <row r="23" spans="1:7" x14ac:dyDescent="0.25">
      <c r="A23" s="1"/>
      <c r="B23" s="90" t="s">
        <v>28</v>
      </c>
      <c r="C23" s="91"/>
      <c r="D23" s="92"/>
      <c r="E23" s="9">
        <f>-'Fane 4.2. Gen. krav - anlæg'!G35</f>
        <v>-134872.42609131217</v>
      </c>
      <c r="F23" s="8" t="s">
        <v>3</v>
      </c>
      <c r="G23" s="1"/>
    </row>
    <row r="24" spans="1:7" x14ac:dyDescent="0.25">
      <c r="A24" s="1"/>
      <c r="B24" s="93" t="s">
        <v>22</v>
      </c>
      <c r="C24" s="94"/>
      <c r="D24" s="95"/>
      <c r="E24" s="10">
        <f>SUM(E9,E14:E23)</f>
        <v>15661212.139622131</v>
      </c>
      <c r="F24" s="11" t="s">
        <v>3</v>
      </c>
      <c r="G24" s="1"/>
    </row>
    <row r="25" spans="1:7" x14ac:dyDescent="0.25">
      <c r="A25" s="1"/>
      <c r="B25" s="36" t="s">
        <v>13</v>
      </c>
      <c r="C25" s="37"/>
      <c r="D25" s="37"/>
      <c r="E25" s="37"/>
      <c r="F25" s="20"/>
      <c r="G25" s="1"/>
    </row>
    <row r="26" spans="1:7" ht="14.25" customHeight="1" x14ac:dyDescent="0.25">
      <c r="A26" s="1"/>
      <c r="B26" s="87" t="s">
        <v>13</v>
      </c>
      <c r="C26" s="88"/>
      <c r="D26" s="89"/>
      <c r="E26" s="10">
        <v>3043452.0411363603</v>
      </c>
      <c r="F26" s="10" t="s">
        <v>3</v>
      </c>
      <c r="G26" s="1"/>
    </row>
    <row r="27" spans="1:7" ht="14.25" customHeight="1" x14ac:dyDescent="0.25">
      <c r="A27" s="1"/>
      <c r="B27" s="36" t="s">
        <v>78</v>
      </c>
      <c r="C27" s="37"/>
      <c r="D27" s="37"/>
      <c r="E27" s="37"/>
      <c r="F27" s="20"/>
      <c r="G27" s="1"/>
    </row>
    <row r="28" spans="1:7" x14ac:dyDescent="0.25">
      <c r="A28" s="1"/>
      <c r="B28" s="96" t="s">
        <v>78</v>
      </c>
      <c r="C28" s="97"/>
      <c r="D28" s="98"/>
      <c r="E28" s="10">
        <v>0</v>
      </c>
      <c r="F28" s="10" t="s">
        <v>3</v>
      </c>
      <c r="G28" s="1"/>
    </row>
    <row r="29" spans="1:7" x14ac:dyDescent="0.25">
      <c r="A29" s="1"/>
      <c r="B29" s="36" t="s">
        <v>77</v>
      </c>
      <c r="C29" s="37"/>
      <c r="D29" s="37"/>
      <c r="E29" s="37"/>
      <c r="F29" s="20"/>
      <c r="G29" s="1"/>
    </row>
    <row r="30" spans="1:7" ht="15.4" customHeight="1" x14ac:dyDescent="0.25">
      <c r="A30" s="1"/>
      <c r="B30" s="99" t="s">
        <v>73</v>
      </c>
      <c r="C30" s="100"/>
      <c r="D30" s="101"/>
      <c r="E30" s="34">
        <v>0</v>
      </c>
      <c r="F30" s="8" t="s">
        <v>3</v>
      </c>
      <c r="G30" s="1"/>
    </row>
    <row r="31" spans="1:7" ht="15.75" customHeight="1" x14ac:dyDescent="0.25">
      <c r="A31" s="1"/>
      <c r="B31" s="99" t="s">
        <v>74</v>
      </c>
      <c r="C31" s="100"/>
      <c r="D31" s="101"/>
      <c r="E31" s="34">
        <v>0</v>
      </c>
      <c r="F31" s="8" t="s">
        <v>3</v>
      </c>
      <c r="G31" s="1"/>
    </row>
    <row r="32" spans="1:7" x14ac:dyDescent="0.25">
      <c r="A32" s="1"/>
      <c r="B32" s="49" t="s">
        <v>79</v>
      </c>
      <c r="C32" s="47"/>
      <c r="D32" s="48"/>
      <c r="E32" s="10">
        <v>0</v>
      </c>
      <c r="F32" s="11" t="s">
        <v>3</v>
      </c>
      <c r="G32" s="1"/>
    </row>
    <row r="33" spans="1:7" x14ac:dyDescent="0.25">
      <c r="A33" s="1"/>
      <c r="B33" s="36" t="s">
        <v>282</v>
      </c>
      <c r="C33" s="37"/>
      <c r="D33" s="37"/>
      <c r="E33" s="37"/>
      <c r="F33" s="20"/>
      <c r="G33" s="1"/>
    </row>
    <row r="34" spans="1:7" ht="15" customHeight="1" x14ac:dyDescent="0.25">
      <c r="A34" s="1"/>
      <c r="B34" s="87" t="s">
        <v>282</v>
      </c>
      <c r="C34" s="88"/>
      <c r="D34" s="89"/>
      <c r="E34" s="10">
        <v>99202</v>
      </c>
      <c r="F34" s="11" t="s">
        <v>3</v>
      </c>
      <c r="G34" s="1"/>
    </row>
    <row r="35" spans="1:7" ht="15" customHeight="1" x14ac:dyDescent="0.25">
      <c r="A35" s="1"/>
      <c r="B35" s="36" t="s">
        <v>288</v>
      </c>
      <c r="C35" s="37"/>
      <c r="D35" s="37"/>
      <c r="E35" s="37"/>
      <c r="F35" s="20"/>
      <c r="G35" s="1"/>
    </row>
    <row r="36" spans="1:7" ht="15" customHeight="1" x14ac:dyDescent="0.25">
      <c r="A36" s="1"/>
      <c r="B36" s="87" t="s">
        <v>288</v>
      </c>
      <c r="C36" s="88"/>
      <c r="D36" s="89"/>
      <c r="E36" s="10">
        <v>1924000</v>
      </c>
      <c r="F36" s="11" t="s">
        <v>3</v>
      </c>
      <c r="G36" s="1"/>
    </row>
    <row r="37" spans="1:7" x14ac:dyDescent="0.25">
      <c r="A37" s="1"/>
      <c r="B37" s="36" t="s">
        <v>31</v>
      </c>
      <c r="C37" s="37"/>
      <c r="D37" s="37"/>
      <c r="E37" s="12">
        <f>E24+E26+E28+E32+E34+E36</f>
        <v>20727866.180758491</v>
      </c>
      <c r="F37" s="13" t="s">
        <v>3</v>
      </c>
      <c r="G37" s="1"/>
    </row>
    <row r="38" spans="1:7" ht="26.85" customHeight="1" x14ac:dyDescent="0.25">
      <c r="A38" s="1"/>
      <c r="B38" s="84" t="s">
        <v>226</v>
      </c>
      <c r="C38" s="85"/>
      <c r="D38" s="85"/>
      <c r="E38" s="85"/>
      <c r="F38" s="86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</sheetData>
  <sheetProtection algorithmName="SHA-512" hashValue="zBZT28kiceVR2TfDGJ32qTQ2xVW4TVfeC1zUi5Fil6Tuz4PK80JaSztLP3ZQtfgXbTpbneVo/+7oI1Brei6GLA==" saltValue="dU6kBkmKB8ShFLvWLbkxkA==" spinCount="100000" sheet="1" objects="1" scenarios="1"/>
  <mergeCells count="24">
    <mergeCell ref="B3:F4"/>
    <mergeCell ref="B9:D9"/>
    <mergeCell ref="B14:D14"/>
    <mergeCell ref="B15:D15"/>
    <mergeCell ref="B16:D16"/>
    <mergeCell ref="B12:D12"/>
    <mergeCell ref="B13:D13"/>
    <mergeCell ref="B10:D10"/>
    <mergeCell ref="B11:D11"/>
    <mergeCell ref="B38:F38"/>
    <mergeCell ref="B34:D34"/>
    <mergeCell ref="B17:D17"/>
    <mergeCell ref="B18:D18"/>
    <mergeCell ref="B19:D19"/>
    <mergeCell ref="B20:D20"/>
    <mergeCell ref="B21:D21"/>
    <mergeCell ref="B22:D22"/>
    <mergeCell ref="B26:D26"/>
    <mergeCell ref="B23:D23"/>
    <mergeCell ref="B24:D24"/>
    <mergeCell ref="B28:D28"/>
    <mergeCell ref="B30:D30"/>
    <mergeCell ref="B31:D31"/>
    <mergeCell ref="B36:D3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64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102" t="s">
        <v>121</v>
      </c>
      <c r="C1" s="102"/>
      <c r="D1" s="102"/>
      <c r="E1" s="102"/>
      <c r="F1" s="102"/>
      <c r="G1" s="102"/>
      <c r="H1" s="102"/>
      <c r="I1" s="1"/>
    </row>
    <row r="2" spans="1:9" ht="15" customHeight="1" x14ac:dyDescent="0.25">
      <c r="A2" s="1"/>
      <c r="B2" s="102"/>
      <c r="C2" s="102"/>
      <c r="D2" s="102"/>
      <c r="E2" s="102"/>
      <c r="F2" s="102"/>
      <c r="G2" s="102"/>
      <c r="H2" s="102"/>
      <c r="I2" s="1"/>
    </row>
    <row r="3" spans="1:9" ht="15" customHeight="1" x14ac:dyDescent="0.25">
      <c r="A3" s="1"/>
      <c r="B3" s="102"/>
      <c r="C3" s="102"/>
      <c r="D3" s="102"/>
      <c r="E3" s="102"/>
      <c r="F3" s="102"/>
      <c r="G3" s="102"/>
      <c r="H3" s="102"/>
      <c r="I3" s="1"/>
    </row>
    <row r="4" spans="1:9" x14ac:dyDescent="0.25">
      <c r="A4" s="1"/>
      <c r="B4" s="106" t="s">
        <v>229</v>
      </c>
      <c r="C4" s="107"/>
      <c r="D4" s="107"/>
      <c r="E4" s="107"/>
      <c r="F4" s="107"/>
      <c r="G4" s="107"/>
      <c r="H4" s="108"/>
      <c r="I4" s="1"/>
    </row>
    <row r="5" spans="1:9" x14ac:dyDescent="0.25">
      <c r="A5" s="1"/>
      <c r="B5" s="109" t="s">
        <v>230</v>
      </c>
      <c r="C5" s="110"/>
      <c r="D5" s="110"/>
      <c r="E5" s="110"/>
      <c r="F5" s="111"/>
      <c r="G5" s="24">
        <v>9465490.1500789989</v>
      </c>
      <c r="H5" s="14" t="s">
        <v>3</v>
      </c>
      <c r="I5" s="1"/>
    </row>
    <row r="6" spans="1:9" ht="15" customHeight="1" x14ac:dyDescent="0.25">
      <c r="A6" s="1"/>
      <c r="B6" s="84" t="s">
        <v>231</v>
      </c>
      <c r="C6" s="85"/>
      <c r="D6" s="85"/>
      <c r="E6" s="85"/>
      <c r="F6" s="86"/>
      <c r="G6" s="24">
        <v>251654.93729999999</v>
      </c>
      <c r="H6" s="14" t="s">
        <v>3</v>
      </c>
      <c r="I6" s="1"/>
    </row>
    <row r="7" spans="1:9" x14ac:dyDescent="0.25">
      <c r="A7" s="1"/>
      <c r="B7" s="109" t="s">
        <v>232</v>
      </c>
      <c r="C7" s="110"/>
      <c r="D7" s="110"/>
      <c r="E7" s="110"/>
      <c r="F7" s="111"/>
      <c r="G7" s="24">
        <f>SUM(G5:G6)*'Fane 14. Nøgletal'!C29</f>
        <v>194342.90174757998</v>
      </c>
      <c r="H7" s="14" t="s">
        <v>3</v>
      </c>
      <c r="I7" s="1"/>
    </row>
    <row r="8" spans="1:9" x14ac:dyDescent="0.25">
      <c r="A8" s="1"/>
      <c r="B8" s="36"/>
      <c r="C8" s="37"/>
      <c r="D8" s="37"/>
      <c r="E8" s="37"/>
      <c r="F8" s="37"/>
      <c r="G8" s="37"/>
      <c r="H8" s="20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106" t="s">
        <v>53</v>
      </c>
      <c r="C10" s="107"/>
      <c r="D10" s="107"/>
      <c r="E10" s="107"/>
      <c r="F10" s="107"/>
      <c r="G10" s="107"/>
      <c r="H10" s="108"/>
      <c r="I10" s="1"/>
    </row>
    <row r="11" spans="1:9" x14ac:dyDescent="0.25">
      <c r="A11" s="1"/>
      <c r="B11" s="109" t="s">
        <v>233</v>
      </c>
      <c r="C11" s="110"/>
      <c r="D11" s="110"/>
      <c r="E11" s="110"/>
      <c r="F11" s="111"/>
      <c r="G11" s="24">
        <f>(G5-G7)*(1+'Fane 14. Nøgletal'!C10)</f>
        <v>9433392.3251772188</v>
      </c>
      <c r="H11" s="14" t="s">
        <v>3</v>
      </c>
      <c r="I11" s="1"/>
    </row>
    <row r="12" spans="1:9" x14ac:dyDescent="0.25">
      <c r="A12" s="1"/>
      <c r="B12" s="109" t="s">
        <v>133</v>
      </c>
      <c r="C12" s="110"/>
      <c r="D12" s="110"/>
      <c r="E12" s="110"/>
      <c r="F12" s="111"/>
      <c r="G12" s="24">
        <v>3.2954695052467287E-6</v>
      </c>
      <c r="H12" s="14" t="s">
        <v>3</v>
      </c>
      <c r="I12" s="1"/>
    </row>
    <row r="13" spans="1:9" x14ac:dyDescent="0.25">
      <c r="A13" s="1"/>
      <c r="B13" s="84" t="s">
        <v>131</v>
      </c>
      <c r="C13" s="85"/>
      <c r="D13" s="85"/>
      <c r="E13" s="85"/>
      <c r="F13" s="86"/>
      <c r="G13" s="24">
        <v>256058.96250000002</v>
      </c>
      <c r="H13" s="14" t="s">
        <v>3</v>
      </c>
      <c r="I13" s="1"/>
    </row>
    <row r="14" spans="1:9" x14ac:dyDescent="0.25">
      <c r="A14" s="1"/>
      <c r="B14" s="112" t="s">
        <v>234</v>
      </c>
      <c r="C14" s="113"/>
      <c r="D14" s="113"/>
      <c r="E14" s="113"/>
      <c r="F14" s="114"/>
      <c r="G14" s="34">
        <v>0</v>
      </c>
      <c r="H14" s="14" t="s">
        <v>3</v>
      </c>
      <c r="I14" s="1"/>
    </row>
    <row r="15" spans="1:9" x14ac:dyDescent="0.25">
      <c r="A15" s="1"/>
      <c r="B15" s="109" t="s">
        <v>46</v>
      </c>
      <c r="C15" s="110"/>
      <c r="D15" s="110"/>
      <c r="E15" s="110"/>
      <c r="F15" s="111"/>
      <c r="G15" s="24">
        <f>SUM(G11:G14)*'Fane 14. Nøgletal'!C29</f>
        <v>193789.02575361027</v>
      </c>
      <c r="H15" s="14" t="s">
        <v>3</v>
      </c>
      <c r="I15" s="1"/>
    </row>
    <row r="16" spans="1:9" x14ac:dyDescent="0.25">
      <c r="A16" s="1"/>
      <c r="B16" s="36"/>
      <c r="C16" s="37"/>
      <c r="D16" s="37"/>
      <c r="E16" s="37"/>
      <c r="F16" s="37"/>
      <c r="G16" s="37"/>
      <c r="H16" s="20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06" t="s">
        <v>54</v>
      </c>
      <c r="C18" s="107"/>
      <c r="D18" s="107"/>
      <c r="E18" s="107"/>
      <c r="F18" s="107"/>
      <c r="G18" s="107"/>
      <c r="H18" s="108"/>
      <c r="I18" s="1"/>
    </row>
    <row r="19" spans="1:9" x14ac:dyDescent="0.25">
      <c r="A19" s="1"/>
      <c r="B19" s="109" t="s">
        <v>47</v>
      </c>
      <c r="C19" s="110"/>
      <c r="D19" s="110"/>
      <c r="E19" s="110"/>
      <c r="F19" s="111"/>
      <c r="G19" s="24">
        <f>(G11+G12+G14-G15)*(1+'Fane 14. Nøgletal'!C10)</f>
        <v>9401296.3571668752</v>
      </c>
      <c r="H19" s="14" t="s">
        <v>3</v>
      </c>
      <c r="I19" s="1"/>
    </row>
    <row r="20" spans="1:9" x14ac:dyDescent="0.25">
      <c r="A20" s="1"/>
      <c r="B20" s="112" t="s">
        <v>48</v>
      </c>
      <c r="C20" s="113"/>
      <c r="D20" s="113"/>
      <c r="E20" s="113"/>
      <c r="F20" s="114"/>
      <c r="G20" s="34">
        <v>0</v>
      </c>
      <c r="H20" s="14" t="s">
        <v>3</v>
      </c>
      <c r="I20" s="1"/>
    </row>
    <row r="21" spans="1:9" x14ac:dyDescent="0.25">
      <c r="A21" s="1"/>
      <c r="B21" s="109" t="s">
        <v>49</v>
      </c>
      <c r="C21" s="110"/>
      <c r="D21" s="110"/>
      <c r="E21" s="110"/>
      <c r="F21" s="111"/>
      <c r="G21" s="24">
        <f>(G19+G20)*'Fane 14. Nøgletal'!C29</f>
        <v>188025.9271433375</v>
      </c>
      <c r="H21" s="14" t="s">
        <v>3</v>
      </c>
      <c r="I21" s="1"/>
    </row>
    <row r="22" spans="1:9" x14ac:dyDescent="0.25">
      <c r="A22" s="1"/>
      <c r="B22" s="36"/>
      <c r="C22" s="37"/>
      <c r="D22" s="37"/>
      <c r="E22" s="37"/>
      <c r="F22" s="37"/>
      <c r="G22" s="37"/>
      <c r="H22" s="20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06" t="s">
        <v>55</v>
      </c>
      <c r="C24" s="107"/>
      <c r="D24" s="107"/>
      <c r="E24" s="107"/>
      <c r="F24" s="107"/>
      <c r="G24" s="107"/>
      <c r="H24" s="108"/>
      <c r="I24" s="1"/>
    </row>
    <row r="25" spans="1:9" x14ac:dyDescent="0.25">
      <c r="A25" s="1"/>
      <c r="B25" s="109" t="s">
        <v>50</v>
      </c>
      <c r="C25" s="110"/>
      <c r="D25" s="110"/>
      <c r="E25" s="110"/>
      <c r="F25" s="111"/>
      <c r="G25" s="24">
        <f>G19*(1-'Fane 14. Nøgletal'!C29)*(1+'Fane 14. Nøgletal'!C10)+G20*(1-'Fane 14. Nøgletal'!C29)*(1+'Fane 14. Nøgletal'!C11)</f>
        <v>9374502.6625489499</v>
      </c>
      <c r="H25" s="14" t="s">
        <v>3</v>
      </c>
      <c r="I25" s="1"/>
    </row>
    <row r="26" spans="1:9" x14ac:dyDescent="0.25">
      <c r="A26" s="1"/>
      <c r="B26" s="115" t="s">
        <v>235</v>
      </c>
      <c r="C26" s="116"/>
      <c r="D26" s="116"/>
      <c r="E26" s="116"/>
      <c r="F26" s="117"/>
      <c r="G26" s="34">
        <f>G20*(1-'Fane 14. Nøgletal'!C29)*(1+'Fane 14. Nøgletal'!C11)</f>
        <v>0</v>
      </c>
      <c r="H26" s="14" t="s">
        <v>3</v>
      </c>
      <c r="I26" s="1"/>
    </row>
    <row r="27" spans="1:9" x14ac:dyDescent="0.25">
      <c r="A27" s="1"/>
      <c r="B27" s="112" t="s">
        <v>51</v>
      </c>
      <c r="C27" s="113"/>
      <c r="D27" s="113"/>
      <c r="E27" s="113"/>
      <c r="F27" s="114"/>
      <c r="G27" s="34">
        <v>0</v>
      </c>
      <c r="H27" s="14" t="s">
        <v>3</v>
      </c>
      <c r="I27" s="1"/>
    </row>
    <row r="28" spans="1:9" x14ac:dyDescent="0.25">
      <c r="A28" s="1"/>
      <c r="B28" s="109" t="s">
        <v>52</v>
      </c>
      <c r="C28" s="110"/>
      <c r="D28" s="110"/>
      <c r="E28" s="110"/>
      <c r="F28" s="111"/>
      <c r="G28" s="24">
        <f>SUM(G25,G27)*'Fane 14. Nøgletal'!C29</f>
        <v>187490.05325097899</v>
      </c>
      <c r="H28" s="14" t="s">
        <v>3</v>
      </c>
      <c r="I28" s="1"/>
    </row>
    <row r="29" spans="1:9" x14ac:dyDescent="0.25">
      <c r="A29" s="1"/>
      <c r="B29" s="36"/>
      <c r="C29" s="37"/>
      <c r="D29" s="37"/>
      <c r="E29" s="37"/>
      <c r="F29" s="37"/>
      <c r="G29" s="37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06" t="s">
        <v>56</v>
      </c>
      <c r="C31" s="107"/>
      <c r="D31" s="107"/>
      <c r="E31" s="107"/>
      <c r="F31" s="107"/>
      <c r="G31" s="107"/>
      <c r="H31" s="108"/>
      <c r="I31" s="1"/>
    </row>
    <row r="32" spans="1:9" x14ac:dyDescent="0.25">
      <c r="A32" s="1"/>
      <c r="B32" s="109" t="s">
        <v>57</v>
      </c>
      <c r="C32" s="110"/>
      <c r="D32" s="110"/>
      <c r="E32" s="110"/>
      <c r="F32" s="111"/>
      <c r="G32" s="24">
        <f>(G25-G26)*(1-'Fane 14. Nøgletal'!C29)*(1+'Fane 14. Nøgletal'!C10)+G26*(1-'Fane 14. Nøgletal'!C29)*(1+'Fane 14. Nøgletal'!C11)+G27*(1-'Fane 14. Nøgletal'!C29)*(1+'Fane 14. Nøgletal'!C12)</f>
        <v>9347785.3299606852</v>
      </c>
      <c r="H32" s="14" t="s">
        <v>3</v>
      </c>
      <c r="I32" s="1"/>
    </row>
    <row r="33" spans="1:9" x14ac:dyDescent="0.25">
      <c r="A33" s="1"/>
      <c r="B33" s="115" t="s">
        <v>235</v>
      </c>
      <c r="C33" s="113"/>
      <c r="D33" s="113"/>
      <c r="E33" s="113"/>
      <c r="F33" s="114"/>
      <c r="G33" s="34">
        <f>G26*(1-'Fane 14. Nøgletal'!C29)*(1+'Fane 14. Nøgletal'!C11)</f>
        <v>0</v>
      </c>
      <c r="H33" s="14" t="s">
        <v>3</v>
      </c>
      <c r="I33" s="1"/>
    </row>
    <row r="34" spans="1:9" x14ac:dyDescent="0.25">
      <c r="A34" s="1"/>
      <c r="B34" s="115" t="s">
        <v>130</v>
      </c>
      <c r="C34" s="113"/>
      <c r="D34" s="113"/>
      <c r="E34" s="113"/>
      <c r="F34" s="114"/>
      <c r="G34" s="34">
        <f>G27*(1-'Fane 14. Nøgletal'!C29)*(1+'Fane 14. Nøgletal'!C12)</f>
        <v>0</v>
      </c>
      <c r="H34" s="14" t="s">
        <v>3</v>
      </c>
      <c r="I34" s="1"/>
    </row>
    <row r="35" spans="1:9" x14ac:dyDescent="0.25">
      <c r="A35" s="1"/>
      <c r="B35" s="109" t="s">
        <v>159</v>
      </c>
      <c r="C35" s="110"/>
      <c r="D35" s="110"/>
      <c r="E35" s="110"/>
      <c r="F35" s="111"/>
      <c r="G35" s="34">
        <v>0</v>
      </c>
      <c r="H35" s="14" t="s">
        <v>3</v>
      </c>
      <c r="I35" s="1"/>
    </row>
    <row r="36" spans="1:9" x14ac:dyDescent="0.25">
      <c r="A36" s="1"/>
      <c r="B36" s="109" t="s">
        <v>58</v>
      </c>
      <c r="C36" s="110"/>
      <c r="D36" s="110"/>
      <c r="E36" s="110"/>
      <c r="F36" s="111"/>
      <c r="G36" s="24">
        <f>SUM(G32,G35)*'Fane 14. Nøgletal'!C29</f>
        <v>186955.70659921371</v>
      </c>
      <c r="H36" s="14" t="s">
        <v>3</v>
      </c>
      <c r="I36" s="1"/>
    </row>
    <row r="37" spans="1:9" x14ac:dyDescent="0.25">
      <c r="A37" s="1"/>
      <c r="B37" s="36"/>
      <c r="C37" s="37"/>
      <c r="D37" s="37"/>
      <c r="E37" s="37"/>
      <c r="F37" s="37"/>
      <c r="G37" s="37"/>
      <c r="H37" s="20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06" t="s">
        <v>191</v>
      </c>
      <c r="C39" s="107"/>
      <c r="D39" s="107"/>
      <c r="E39" s="107"/>
      <c r="F39" s="107"/>
      <c r="G39" s="107"/>
      <c r="H39" s="108"/>
      <c r="I39" s="1"/>
    </row>
    <row r="40" spans="1:9" x14ac:dyDescent="0.25">
      <c r="A40" s="1"/>
      <c r="B40" s="109" t="s">
        <v>245</v>
      </c>
      <c r="C40" s="110"/>
      <c r="D40" s="110"/>
      <c r="E40" s="110"/>
      <c r="F40" s="111"/>
      <c r="G40" s="24">
        <f>(SUM(G32,G35)-G36)*(1+'Fane 14. Nøgletal'!C14)</f>
        <v>9191060.3611185662</v>
      </c>
      <c r="H40" s="14" t="s">
        <v>3</v>
      </c>
      <c r="I40" s="1"/>
    </row>
    <row r="41" spans="1:9" x14ac:dyDescent="0.25">
      <c r="A41" s="1"/>
      <c r="B41" s="109" t="s">
        <v>244</v>
      </c>
      <c r="C41" s="110"/>
      <c r="D41" s="110"/>
      <c r="E41" s="110"/>
      <c r="F41" s="111"/>
      <c r="G41" s="34">
        <f>(SUM('Fane 2.1. Økonomisk ramme 2022'!C10,'Fane 2.1. Økonomisk ramme 2022'!C12,'Fane 2.1. Økonomisk ramme 2022'!C14)*(1+'Fane 14. Nøgletal'!C14))</f>
        <v>0</v>
      </c>
      <c r="H41" s="14" t="s">
        <v>3</v>
      </c>
      <c r="I41" s="1"/>
    </row>
    <row r="42" spans="1:9" x14ac:dyDescent="0.25">
      <c r="A42" s="1"/>
      <c r="B42" s="109" t="s">
        <v>243</v>
      </c>
      <c r="C42" s="110"/>
      <c r="D42" s="110"/>
      <c r="E42" s="110"/>
      <c r="F42" s="111"/>
      <c r="G42" s="24">
        <f>(G40+G41)*'Fane 14. Nøgletal'!C29</f>
        <v>183821.20722237133</v>
      </c>
      <c r="H42" s="14" t="s">
        <v>3</v>
      </c>
      <c r="I42" s="1"/>
    </row>
    <row r="43" spans="1:9" x14ac:dyDescent="0.25">
      <c r="A43" s="1"/>
      <c r="B43" s="36"/>
      <c r="C43" s="37"/>
      <c r="D43" s="37"/>
      <c r="E43" s="37"/>
      <c r="F43" s="37"/>
      <c r="G43" s="37"/>
      <c r="H43" s="20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06" t="s">
        <v>223</v>
      </c>
      <c r="C45" s="107"/>
      <c r="D45" s="107"/>
      <c r="E45" s="107"/>
      <c r="F45" s="107"/>
      <c r="G45" s="107"/>
      <c r="H45" s="108"/>
      <c r="I45" s="1"/>
    </row>
    <row r="46" spans="1:9" x14ac:dyDescent="0.25">
      <c r="A46" s="1"/>
      <c r="B46" s="109" t="s">
        <v>256</v>
      </c>
      <c r="C46" s="110"/>
      <c r="D46" s="110"/>
      <c r="E46" s="110"/>
      <c r="F46" s="111"/>
      <c r="G46" s="24">
        <f>(G40+G41-G42)*(1+'Fane 14. Nøgletal'!C14)</f>
        <v>9036963.0431040544</v>
      </c>
      <c r="H46" s="14" t="s">
        <v>3</v>
      </c>
      <c r="I46" s="1"/>
    </row>
    <row r="47" spans="1:9" x14ac:dyDescent="0.25">
      <c r="A47" s="1"/>
      <c r="B47" s="115" t="s">
        <v>258</v>
      </c>
      <c r="C47" s="113"/>
      <c r="D47" s="113"/>
      <c r="E47" s="113"/>
      <c r="F47" s="114"/>
      <c r="G47" s="34">
        <f>G41*(1+'Fane 14. Nøgletal'!C14)</f>
        <v>0</v>
      </c>
      <c r="H47" s="14" t="s">
        <v>3</v>
      </c>
      <c r="I47" s="1"/>
    </row>
    <row r="48" spans="1:9" x14ac:dyDescent="0.25">
      <c r="A48" s="1"/>
      <c r="B48" s="109" t="s">
        <v>81</v>
      </c>
      <c r="C48" s="110"/>
      <c r="D48" s="110"/>
      <c r="E48" s="110"/>
      <c r="F48" s="111"/>
      <c r="G48" s="34">
        <f>-'Fane 13. Bortfald'!C18*(1+'Fane 14. Nøgletal'!C14)</f>
        <v>0</v>
      </c>
      <c r="H48" s="14" t="s">
        <v>3</v>
      </c>
      <c r="I48" s="1"/>
    </row>
    <row r="49" spans="1:9" x14ac:dyDescent="0.25">
      <c r="A49" s="1"/>
      <c r="B49" s="109" t="s">
        <v>257</v>
      </c>
      <c r="C49" s="110"/>
      <c r="D49" s="110"/>
      <c r="E49" s="110"/>
      <c r="F49" s="111"/>
      <c r="G49" s="24">
        <f>(G46+G48)*'Fane 14. Nøgletal'!C29</f>
        <v>180739.26086208108</v>
      </c>
      <c r="H49" s="14" t="s">
        <v>3</v>
      </c>
      <c r="I49" s="1"/>
    </row>
    <row r="50" spans="1:9" x14ac:dyDescent="0.25">
      <c r="A50" s="1"/>
      <c r="B50" s="36"/>
      <c r="C50" s="37"/>
      <c r="D50" s="37"/>
      <c r="E50" s="37"/>
      <c r="F50" s="37"/>
      <c r="G50" s="37"/>
      <c r="H50" s="20"/>
      <c r="I50" s="1"/>
    </row>
    <row r="51" spans="1:9" x14ac:dyDescent="0.25">
      <c r="A51" s="1"/>
      <c r="B51" s="35"/>
      <c r="C51" s="35"/>
      <c r="D51" s="35"/>
      <c r="E51" s="35"/>
      <c r="F51" s="35"/>
      <c r="G51" s="35"/>
      <c r="H51" s="35"/>
      <c r="I51" s="1"/>
    </row>
    <row r="52" spans="1:9" x14ac:dyDescent="0.25">
      <c r="A52" s="1"/>
      <c r="B52" s="35"/>
      <c r="C52" s="35"/>
      <c r="D52" s="35"/>
      <c r="E52" s="35"/>
      <c r="F52" s="35"/>
      <c r="G52" s="35"/>
      <c r="H52" s="35"/>
      <c r="I52" s="1"/>
    </row>
    <row r="53" spans="1:9" x14ac:dyDescent="0.25">
      <c r="A53" s="1"/>
      <c r="B53" s="106" t="s">
        <v>160</v>
      </c>
      <c r="C53" s="107"/>
      <c r="D53" s="107"/>
      <c r="E53" s="107"/>
      <c r="F53" s="107"/>
      <c r="G53" s="107"/>
      <c r="H53" s="108"/>
      <c r="I53" s="1"/>
    </row>
    <row r="54" spans="1:9" x14ac:dyDescent="0.25">
      <c r="A54" s="1"/>
      <c r="B54" s="109" t="s">
        <v>161</v>
      </c>
      <c r="C54" s="110"/>
      <c r="D54" s="110"/>
      <c r="E54" s="110"/>
      <c r="F54" s="111"/>
      <c r="G54" s="24">
        <f>(G46+G48-G49)*(1+'Fane 14. Nøgletal'!C14)</f>
        <v>8885449.3207233734</v>
      </c>
      <c r="H54" s="14" t="s">
        <v>3</v>
      </c>
      <c r="I54" s="1"/>
    </row>
    <row r="55" spans="1:9" x14ac:dyDescent="0.25">
      <c r="A55" s="1"/>
      <c r="B55" s="109" t="s">
        <v>162</v>
      </c>
      <c r="C55" s="110"/>
      <c r="D55" s="110"/>
      <c r="E55" s="110"/>
      <c r="F55" s="111"/>
      <c r="G55" s="34">
        <f>-'Fane 13. Bortfald'!C24*(1+'Fane 14. Nøgletal'!C14)</f>
        <v>0</v>
      </c>
      <c r="H55" s="14" t="s">
        <v>3</v>
      </c>
      <c r="I55" s="1"/>
    </row>
    <row r="56" spans="1:9" x14ac:dyDescent="0.25">
      <c r="A56" s="1"/>
      <c r="B56" s="109" t="s">
        <v>163</v>
      </c>
      <c r="C56" s="110"/>
      <c r="D56" s="110"/>
      <c r="E56" s="110"/>
      <c r="F56" s="111"/>
      <c r="G56" s="24">
        <f>(G54+G55)*'Fane 14. Nøgletal'!C29</f>
        <v>177708.98641446748</v>
      </c>
      <c r="H56" s="14" t="s">
        <v>3</v>
      </c>
      <c r="I56" s="1"/>
    </row>
    <row r="57" spans="1:9" x14ac:dyDescent="0.25">
      <c r="A57" s="1"/>
      <c r="B57" s="36"/>
      <c r="C57" s="37"/>
      <c r="D57" s="37"/>
      <c r="E57" s="37"/>
      <c r="F57" s="37"/>
      <c r="G57" s="37"/>
      <c r="H57" s="20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55" t="s">
        <v>224</v>
      </c>
      <c r="C59" s="56"/>
      <c r="D59" s="56"/>
      <c r="E59" s="56"/>
      <c r="F59" s="56"/>
      <c r="G59" s="56"/>
      <c r="H59" s="57"/>
      <c r="I59" s="1"/>
    </row>
    <row r="60" spans="1:9" x14ac:dyDescent="0.25">
      <c r="A60" s="1"/>
      <c r="B60" s="52" t="s">
        <v>236</v>
      </c>
      <c r="C60" s="53"/>
      <c r="D60" s="53"/>
      <c r="E60" s="53"/>
      <c r="F60" s="54"/>
      <c r="G60" s="24">
        <f>(G54+G55-G56)*(1+'Fane 14. Nøgletal'!C14)</f>
        <v>8736475.8774121255</v>
      </c>
      <c r="H60" s="14" t="s">
        <v>3</v>
      </c>
      <c r="I60" s="1"/>
    </row>
    <row r="61" spans="1:9" x14ac:dyDescent="0.25">
      <c r="A61" s="1"/>
      <c r="B61" s="52" t="s">
        <v>237</v>
      </c>
      <c r="C61" s="53"/>
      <c r="D61" s="53"/>
      <c r="E61" s="53"/>
      <c r="F61" s="54"/>
      <c r="G61" s="34">
        <f>-'Fane 13. Bortfald'!C30*(1+'Fane 14. Nøgletal'!C14)</f>
        <v>0</v>
      </c>
      <c r="H61" s="14" t="s">
        <v>3</v>
      </c>
      <c r="I61" s="1"/>
    </row>
    <row r="62" spans="1:9" x14ac:dyDescent="0.25">
      <c r="A62" s="1"/>
      <c r="B62" s="52" t="s">
        <v>238</v>
      </c>
      <c r="C62" s="53"/>
      <c r="D62" s="53"/>
      <c r="E62" s="53"/>
      <c r="F62" s="54"/>
      <c r="G62" s="24">
        <f>(G60+G61)*'Fane 14. Nøgletal'!C29</f>
        <v>174729.51754824253</v>
      </c>
      <c r="H62" s="14" t="s">
        <v>3</v>
      </c>
      <c r="I62" s="1"/>
    </row>
    <row r="63" spans="1:9" x14ac:dyDescent="0.25">
      <c r="A63" s="1"/>
      <c r="B63" s="36"/>
      <c r="C63" s="37"/>
      <c r="D63" s="37"/>
      <c r="E63" s="37"/>
      <c r="F63" s="37"/>
      <c r="G63" s="37"/>
      <c r="H63" s="20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</sheetData>
  <sheetProtection algorithmName="SHA-512" hashValue="dpd5+fAGKoljknBnp0GfIjg/4nsk3lUoD1PZSAtnF2g0+lkd1GTyfD7F7GxEZJJ3KyNhXlFylx5eh0LewQqeMw==" saltValue="7YiLI/RtZwHOpYXmfKEPCQ==" spinCount="100000" sheet="1" objects="1" scenarios="1"/>
  <mergeCells count="39">
    <mergeCell ref="B41:F41"/>
    <mergeCell ref="B47:F47"/>
    <mergeCell ref="B53:H53"/>
    <mergeCell ref="B54:F54"/>
    <mergeCell ref="B55:F55"/>
    <mergeCell ref="B56:F56"/>
    <mergeCell ref="B12:F12"/>
    <mergeCell ref="B28:F28"/>
    <mergeCell ref="B36:F36"/>
    <mergeCell ref="B45:H45"/>
    <mergeCell ref="B46:F46"/>
    <mergeCell ref="B49:F49"/>
    <mergeCell ref="B48:F48"/>
    <mergeCell ref="B39:H39"/>
    <mergeCell ref="B42:F42"/>
    <mergeCell ref="B40:F40"/>
    <mergeCell ref="B13:F13"/>
    <mergeCell ref="B35:F35"/>
    <mergeCell ref="B26:F26"/>
    <mergeCell ref="B33:F33"/>
    <mergeCell ref="B34:F34"/>
    <mergeCell ref="B1:H3"/>
    <mergeCell ref="B4:H4"/>
    <mergeCell ref="B5:F5"/>
    <mergeCell ref="B7:F7"/>
    <mergeCell ref="B11:F11"/>
    <mergeCell ref="B10:H10"/>
    <mergeCell ref="B6:F6"/>
    <mergeCell ref="B18:H18"/>
    <mergeCell ref="B24:H24"/>
    <mergeCell ref="B32:F32"/>
    <mergeCell ref="B14:F14"/>
    <mergeCell ref="B15:F15"/>
    <mergeCell ref="B19:F19"/>
    <mergeCell ref="B20:F20"/>
    <mergeCell ref="B31:H31"/>
    <mergeCell ref="B21:F21"/>
    <mergeCell ref="B25:F25"/>
    <mergeCell ref="B27:F2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62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8.710937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118" t="s">
        <v>120</v>
      </c>
      <c r="C2" s="118"/>
      <c r="D2" s="118"/>
      <c r="E2" s="118"/>
      <c r="F2" s="118"/>
      <c r="G2" s="118"/>
      <c r="H2" s="118"/>
      <c r="I2" s="1"/>
    </row>
    <row r="3" spans="1:9" ht="28.5" customHeight="1" x14ac:dyDescent="0.25">
      <c r="A3" s="1"/>
      <c r="B3" s="118"/>
      <c r="C3" s="118"/>
      <c r="D3" s="118"/>
      <c r="E3" s="118"/>
      <c r="F3" s="118"/>
      <c r="G3" s="118"/>
      <c r="H3" s="118"/>
      <c r="I3" s="1"/>
    </row>
    <row r="4" spans="1:9" ht="18.75" x14ac:dyDescent="0.3">
      <c r="A4" s="1"/>
      <c r="B4" s="30"/>
      <c r="C4" s="30"/>
      <c r="D4" s="30"/>
      <c r="E4" s="30"/>
      <c r="F4" s="30"/>
      <c r="G4" s="30"/>
      <c r="H4" s="30"/>
      <c r="I4" s="1"/>
    </row>
    <row r="5" spans="1:9" x14ac:dyDescent="0.25">
      <c r="A5" s="1"/>
      <c r="B5" s="106" t="s">
        <v>246</v>
      </c>
      <c r="C5" s="107"/>
      <c r="D5" s="107"/>
      <c r="E5" s="107"/>
      <c r="F5" s="107"/>
      <c r="G5" s="107"/>
      <c r="H5" s="108"/>
      <c r="I5" s="1"/>
    </row>
    <row r="6" spans="1:9" x14ac:dyDescent="0.25">
      <c r="A6" s="1"/>
      <c r="B6" s="109" t="s">
        <v>247</v>
      </c>
      <c r="C6" s="110"/>
      <c r="D6" s="110"/>
      <c r="E6" s="110"/>
      <c r="F6" s="111"/>
      <c r="G6" s="24">
        <v>4435445.0346933687</v>
      </c>
      <c r="H6" s="14" t="s">
        <v>3</v>
      </c>
      <c r="I6" s="1"/>
    </row>
    <row r="7" spans="1:9" x14ac:dyDescent="0.25">
      <c r="A7" s="1"/>
      <c r="B7" s="109" t="s">
        <v>239</v>
      </c>
      <c r="C7" s="110"/>
      <c r="D7" s="110"/>
      <c r="E7" s="110"/>
      <c r="F7" s="111"/>
      <c r="G7" s="24">
        <f>G6*'Fane 14. Nøgletal'!C19</f>
        <v>40362.549815709659</v>
      </c>
      <c r="H7" s="14" t="s">
        <v>3</v>
      </c>
      <c r="I7" s="1"/>
    </row>
    <row r="8" spans="1:9" x14ac:dyDescent="0.25">
      <c r="A8" s="1"/>
      <c r="B8" s="36"/>
      <c r="C8" s="37"/>
      <c r="D8" s="37"/>
      <c r="E8" s="37"/>
      <c r="F8" s="37"/>
      <c r="G8" s="37"/>
      <c r="H8" s="20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106" t="s">
        <v>59</v>
      </c>
      <c r="C10" s="107"/>
      <c r="D10" s="107"/>
      <c r="E10" s="107"/>
      <c r="F10" s="107"/>
      <c r="G10" s="107"/>
      <c r="H10" s="108"/>
      <c r="I10" s="1"/>
    </row>
    <row r="11" spans="1:9" x14ac:dyDescent="0.25">
      <c r="A11" s="1"/>
      <c r="B11" s="109" t="s">
        <v>248</v>
      </c>
      <c r="C11" s="110"/>
      <c r="D11" s="110"/>
      <c r="E11" s="110"/>
      <c r="F11" s="111"/>
      <c r="G11" s="24">
        <f>(G6-G7)*(1+'Fane 14. Nøgletal'!C10)</f>
        <v>4471996.4283630187</v>
      </c>
      <c r="H11" s="14" t="s">
        <v>3</v>
      </c>
      <c r="I11" s="1"/>
    </row>
    <row r="12" spans="1:9" x14ac:dyDescent="0.25">
      <c r="A12" s="1"/>
      <c r="B12" s="109" t="s">
        <v>134</v>
      </c>
      <c r="C12" s="110"/>
      <c r="D12" s="110"/>
      <c r="E12" s="110"/>
      <c r="F12" s="111"/>
      <c r="G12" s="24">
        <v>303226.83097480662</v>
      </c>
      <c r="H12" s="14" t="s">
        <v>3</v>
      </c>
      <c r="I12" s="1"/>
    </row>
    <row r="13" spans="1:9" x14ac:dyDescent="0.25">
      <c r="A13" s="1"/>
      <c r="B13" s="112" t="s">
        <v>249</v>
      </c>
      <c r="C13" s="113"/>
      <c r="D13" s="113"/>
      <c r="E13" s="113"/>
      <c r="F13" s="114"/>
      <c r="G13" s="34">
        <v>0</v>
      </c>
      <c r="H13" s="14" t="s">
        <v>3</v>
      </c>
      <c r="I13" s="1"/>
    </row>
    <row r="14" spans="1:9" x14ac:dyDescent="0.25">
      <c r="A14" s="1"/>
      <c r="B14" s="109" t="s">
        <v>60</v>
      </c>
      <c r="C14" s="110"/>
      <c r="D14" s="110"/>
      <c r="E14" s="110"/>
      <c r="F14" s="111"/>
      <c r="G14" s="24">
        <f>SUM(G11:G13)*'Fane 14. Nøgletal'!C20</f>
        <v>84521.451690279515</v>
      </c>
      <c r="H14" s="14" t="s">
        <v>3</v>
      </c>
      <c r="I14" s="1"/>
    </row>
    <row r="15" spans="1:9" x14ac:dyDescent="0.25">
      <c r="A15" s="1"/>
      <c r="B15" s="36"/>
      <c r="C15" s="37"/>
      <c r="D15" s="37"/>
      <c r="E15" s="37"/>
      <c r="F15" s="37"/>
      <c r="G15" s="37"/>
      <c r="H15" s="20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06" t="s">
        <v>61</v>
      </c>
      <c r="C17" s="107"/>
      <c r="D17" s="107"/>
      <c r="E17" s="107"/>
      <c r="F17" s="107"/>
      <c r="G17" s="107"/>
      <c r="H17" s="108"/>
      <c r="I17" s="1"/>
    </row>
    <row r="18" spans="1:9" x14ac:dyDescent="0.25">
      <c r="A18" s="1"/>
      <c r="B18" s="109" t="s">
        <v>62</v>
      </c>
      <c r="C18" s="110"/>
      <c r="D18" s="110"/>
      <c r="E18" s="110"/>
      <c r="F18" s="111"/>
      <c r="G18" s="24">
        <f>(G11+G12+G13-G14)*(1+'Fane 14. Nøgletal'!C10)</f>
        <v>4772789.0892813783</v>
      </c>
      <c r="H18" s="14" t="s">
        <v>3</v>
      </c>
      <c r="I18" s="1"/>
    </row>
    <row r="19" spans="1:9" x14ac:dyDescent="0.25">
      <c r="A19" s="1"/>
      <c r="B19" s="112" t="s">
        <v>63</v>
      </c>
      <c r="C19" s="113"/>
      <c r="D19" s="113"/>
      <c r="E19" s="113"/>
      <c r="F19" s="114"/>
      <c r="G19" s="24">
        <v>66595.113283999992</v>
      </c>
      <c r="H19" s="14" t="s">
        <v>3</v>
      </c>
      <c r="I19" s="1"/>
    </row>
    <row r="20" spans="1:9" x14ac:dyDescent="0.25">
      <c r="A20" s="1"/>
      <c r="B20" s="109" t="s">
        <v>64</v>
      </c>
      <c r="C20" s="110"/>
      <c r="D20" s="110"/>
      <c r="E20" s="110"/>
      <c r="F20" s="111"/>
      <c r="G20" s="24">
        <f>G18*'Fane 14. Nøgletal'!C20+G19*'Fane 14. Nøgletal'!C21</f>
        <v>85057.744365851206</v>
      </c>
      <c r="H20" s="14" t="s">
        <v>3</v>
      </c>
      <c r="I20" s="1"/>
    </row>
    <row r="21" spans="1:9" x14ac:dyDescent="0.25">
      <c r="A21" s="1"/>
      <c r="B21" s="36"/>
      <c r="C21" s="37"/>
      <c r="D21" s="37"/>
      <c r="E21" s="37"/>
      <c r="F21" s="37"/>
      <c r="G21" s="37"/>
      <c r="H21" s="20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06" t="s">
        <v>222</v>
      </c>
      <c r="C23" s="107"/>
      <c r="D23" s="107"/>
      <c r="E23" s="107"/>
      <c r="F23" s="107"/>
      <c r="G23" s="107"/>
      <c r="H23" s="108"/>
      <c r="I23" s="1"/>
    </row>
    <row r="24" spans="1:9" x14ac:dyDescent="0.25">
      <c r="A24" s="1"/>
      <c r="B24" s="109" t="s">
        <v>65</v>
      </c>
      <c r="C24" s="110"/>
      <c r="D24" s="110"/>
      <c r="E24" s="110"/>
      <c r="F24" s="111"/>
      <c r="G24" s="24">
        <f>G18*(1-'Fane 14. Nøgletal'!C20)*(1+'Fane 14. Nøgletal'!C10)+G19*(1-'Fane 14. Nøgletal'!C21)*(1+'Fane 14. Nøgletal'!C11)</f>
        <v>4837487.5617765393</v>
      </c>
      <c r="H24" s="14" t="s">
        <v>3</v>
      </c>
      <c r="I24" s="1"/>
    </row>
    <row r="25" spans="1:9" x14ac:dyDescent="0.25">
      <c r="A25" s="1"/>
      <c r="B25" s="115" t="s">
        <v>250</v>
      </c>
      <c r="C25" s="113"/>
      <c r="D25" s="113"/>
      <c r="E25" s="113"/>
      <c r="F25" s="114"/>
      <c r="G25" s="24">
        <f>G19*(1-'Fane 14. Nøgletal'!C21)*(1+'Fane 14. Nøgletal'!C11)</f>
        <v>67131.401733422637</v>
      </c>
      <c r="H25" s="14" t="s">
        <v>3</v>
      </c>
      <c r="I25" s="1"/>
    </row>
    <row r="26" spans="1:9" x14ac:dyDescent="0.25">
      <c r="A26" s="1"/>
      <c r="B26" s="112" t="s">
        <v>66</v>
      </c>
      <c r="C26" s="113"/>
      <c r="D26" s="113"/>
      <c r="E26" s="113"/>
      <c r="F26" s="114"/>
      <c r="G26" s="24">
        <v>615886.15901755693</v>
      </c>
      <c r="H26" s="14" t="s">
        <v>3</v>
      </c>
      <c r="I26" s="1"/>
    </row>
    <row r="27" spans="1:9" x14ac:dyDescent="0.25">
      <c r="A27" s="1"/>
      <c r="B27" s="109" t="s">
        <v>67</v>
      </c>
      <c r="C27" s="110"/>
      <c r="D27" s="110"/>
      <c r="E27" s="110"/>
      <c r="F27" s="111"/>
      <c r="G27" s="24">
        <f>(G24-G25)*'Fane 14. Nøgletal'!C21+G25*'Fane 14. Nøgletal'!C22+G26*'Fane 14. Nøgletal'!C23</f>
        <v>60345.49977458713</v>
      </c>
      <c r="H27" s="14" t="s">
        <v>3</v>
      </c>
      <c r="I27" s="1"/>
    </row>
    <row r="28" spans="1:9" x14ac:dyDescent="0.25">
      <c r="A28" s="1"/>
      <c r="B28" s="36"/>
      <c r="C28" s="37"/>
      <c r="D28" s="37"/>
      <c r="E28" s="37"/>
      <c r="F28" s="37"/>
      <c r="G28" s="37"/>
      <c r="H28" s="20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06" t="s">
        <v>68</v>
      </c>
      <c r="C30" s="107"/>
      <c r="D30" s="107"/>
      <c r="E30" s="107"/>
      <c r="F30" s="107"/>
      <c r="G30" s="107"/>
      <c r="H30" s="108"/>
      <c r="I30" s="1"/>
    </row>
    <row r="31" spans="1:9" x14ac:dyDescent="0.25">
      <c r="A31" s="1"/>
      <c r="B31" s="109" t="s">
        <v>69</v>
      </c>
      <c r="C31" s="110"/>
      <c r="D31" s="110"/>
      <c r="E31" s="110"/>
      <c r="F31" s="111"/>
      <c r="G31" s="24">
        <f>(G24-G25)*(1-'Fane 14. Nøgletal'!C20)*(1+'Fane 14. Nøgletal'!C10)+G25*(1-'Fane 14. Nøgletal'!C21)*(1+'Fane 14. Nøgletal'!C11)+G26*(1-'Fane 14. Nøgletal'!C22)*(1+'Fane 14. Nøgletal'!C12)</f>
        <v>5445779.853334032</v>
      </c>
      <c r="H31" s="14" t="s">
        <v>3</v>
      </c>
      <c r="I31" s="1"/>
    </row>
    <row r="32" spans="1:9" x14ac:dyDescent="0.25">
      <c r="A32" s="1"/>
      <c r="B32" s="115" t="s">
        <v>251</v>
      </c>
      <c r="C32" s="113"/>
      <c r="D32" s="113"/>
      <c r="E32" s="113"/>
      <c r="F32" s="114"/>
      <c r="G32" s="24">
        <f>G25*(1-'Fane 14. Nøgletal'!C21)*(1+'Fane 14. Nøgletal'!C11)</f>
        <v>67672.008897639826</v>
      </c>
      <c r="H32" s="14" t="s">
        <v>3</v>
      </c>
      <c r="I32" s="1"/>
    </row>
    <row r="33" spans="1:9" x14ac:dyDescent="0.25">
      <c r="A33" s="1"/>
      <c r="B33" s="115" t="s">
        <v>129</v>
      </c>
      <c r="C33" s="113"/>
      <c r="D33" s="113"/>
      <c r="E33" s="113"/>
      <c r="F33" s="114"/>
      <c r="G33" s="24">
        <f>G26*(1-'Fane 14. Nøgletal'!C22)*(1+'Fane 14. Nøgletal'!C12)</f>
        <v>610183.37344585708</v>
      </c>
      <c r="H33" s="14" t="s">
        <v>3</v>
      </c>
      <c r="I33" s="1"/>
    </row>
    <row r="34" spans="1:9" x14ac:dyDescent="0.25">
      <c r="A34" s="1"/>
      <c r="B34" s="109" t="s">
        <v>164</v>
      </c>
      <c r="C34" s="110"/>
      <c r="D34" s="110"/>
      <c r="E34" s="110"/>
      <c r="F34" s="111"/>
      <c r="G34" s="24">
        <v>1184080.3153275601</v>
      </c>
      <c r="H34" s="14" t="s">
        <v>3</v>
      </c>
      <c r="I34" s="1"/>
    </row>
    <row r="35" spans="1:9" x14ac:dyDescent="0.25">
      <c r="A35" s="1"/>
      <c r="B35" s="109" t="s">
        <v>70</v>
      </c>
      <c r="C35" s="110"/>
      <c r="D35" s="110"/>
      <c r="E35" s="110"/>
      <c r="F35" s="111"/>
      <c r="G35" s="24">
        <f>(G31-SUM(G32:G33))*'Fane 14. Nøgletal'!C20+G32*'Fane 14. Nøgletal'!C21+G33*'Fane 14. Nøgletal'!C22+G34*'Fane 14. Nøgletal'!C23</f>
        <v>134872.42609131217</v>
      </c>
      <c r="H35" s="14" t="s">
        <v>3</v>
      </c>
      <c r="I35" s="1"/>
    </row>
    <row r="36" spans="1:9" x14ac:dyDescent="0.25">
      <c r="A36" s="1"/>
      <c r="B36" s="36"/>
      <c r="C36" s="37"/>
      <c r="D36" s="37"/>
      <c r="E36" s="37"/>
      <c r="F36" s="37"/>
      <c r="G36" s="37"/>
      <c r="H36" s="20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06" t="s">
        <v>192</v>
      </c>
      <c r="C38" s="107"/>
      <c r="D38" s="107"/>
      <c r="E38" s="107"/>
      <c r="F38" s="107"/>
      <c r="G38" s="107"/>
      <c r="H38" s="108"/>
      <c r="I38" s="1"/>
    </row>
    <row r="39" spans="1:9" x14ac:dyDescent="0.25">
      <c r="A39" s="1"/>
      <c r="B39" s="109" t="s">
        <v>252</v>
      </c>
      <c r="C39" s="110"/>
      <c r="D39" s="110"/>
      <c r="E39" s="110"/>
      <c r="F39" s="111"/>
      <c r="G39" s="24">
        <f>(SUM(G31,G34)-G35)*(1+'Fane 14. Nøgletal'!C14)</f>
        <v>6516421.2021207623</v>
      </c>
      <c r="H39" s="14" t="s">
        <v>3</v>
      </c>
      <c r="I39" s="1"/>
    </row>
    <row r="40" spans="1:9" x14ac:dyDescent="0.25">
      <c r="A40" s="1"/>
      <c r="B40" s="109" t="s">
        <v>193</v>
      </c>
      <c r="C40" s="110"/>
      <c r="D40" s="110"/>
      <c r="E40" s="110"/>
      <c r="F40" s="111"/>
      <c r="G40" s="34">
        <f>SUM('Fane 2.1. Økonomisk ramme 2022'!C11,'Fane 2.1. Økonomisk ramme 2022'!C13,'Fane 2.1. Økonomisk ramme 2022'!C15)*(1+'Fane 14. Nøgletal'!C14)</f>
        <v>0</v>
      </c>
      <c r="H40" s="14" t="s">
        <v>3</v>
      </c>
      <c r="I40" s="1"/>
    </row>
    <row r="41" spans="1:9" x14ac:dyDescent="0.25">
      <c r="A41" s="1"/>
      <c r="B41" s="109" t="s">
        <v>194</v>
      </c>
      <c r="C41" s="110"/>
      <c r="D41" s="110"/>
      <c r="E41" s="110"/>
      <c r="F41" s="111"/>
      <c r="G41" s="24">
        <f>(G39+G40)*'Fane 14. Nøgletal'!C24</f>
        <v>96443.033791387294</v>
      </c>
      <c r="H41" s="14" t="s">
        <v>3</v>
      </c>
      <c r="I41" s="1"/>
    </row>
    <row r="42" spans="1:9" x14ac:dyDescent="0.25">
      <c r="A42" s="1"/>
      <c r="B42" s="36"/>
      <c r="C42" s="37"/>
      <c r="D42" s="37"/>
      <c r="E42" s="37"/>
      <c r="F42" s="37"/>
      <c r="G42" s="37"/>
      <c r="H42" s="20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06" t="s">
        <v>253</v>
      </c>
      <c r="C44" s="107"/>
      <c r="D44" s="107"/>
      <c r="E44" s="107"/>
      <c r="F44" s="107"/>
      <c r="G44" s="107"/>
      <c r="H44" s="108"/>
      <c r="I44" s="1"/>
    </row>
    <row r="45" spans="1:9" x14ac:dyDescent="0.25">
      <c r="A45" s="1"/>
      <c r="B45" s="109" t="s">
        <v>71</v>
      </c>
      <c r="C45" s="110"/>
      <c r="D45" s="110"/>
      <c r="E45" s="110"/>
      <c r="F45" s="111"/>
      <c r="G45" s="24">
        <f>(G39+G40-G41)*(1+'Fane 14. Nøgletal'!C14)</f>
        <v>6441164.0962848626</v>
      </c>
      <c r="H45" s="14" t="s">
        <v>3</v>
      </c>
      <c r="I45" s="1"/>
    </row>
    <row r="46" spans="1:9" x14ac:dyDescent="0.25">
      <c r="A46" s="1"/>
      <c r="B46" s="115" t="s">
        <v>260</v>
      </c>
      <c r="C46" s="113"/>
      <c r="D46" s="113"/>
      <c r="E46" s="113"/>
      <c r="F46" s="114"/>
      <c r="G46" s="34">
        <f>G40*(1+'Fane 14. Nøgletal'!C14)</f>
        <v>0</v>
      </c>
      <c r="H46" s="14" t="s">
        <v>3</v>
      </c>
      <c r="I46" s="1"/>
    </row>
    <row r="47" spans="1:9" x14ac:dyDescent="0.25">
      <c r="A47" s="1"/>
      <c r="B47" s="109" t="s">
        <v>85</v>
      </c>
      <c r="C47" s="110"/>
      <c r="D47" s="110"/>
      <c r="E47" s="110"/>
      <c r="F47" s="111"/>
      <c r="G47" s="34">
        <f>-'Fane 13. Bortfald'!E18*(1+'Fane 14. Nøgletal'!C14)</f>
        <v>0</v>
      </c>
      <c r="H47" s="14" t="s">
        <v>3</v>
      </c>
      <c r="I47" s="1"/>
    </row>
    <row r="48" spans="1:9" x14ac:dyDescent="0.25">
      <c r="A48" s="1"/>
      <c r="B48" s="109" t="s">
        <v>259</v>
      </c>
      <c r="C48" s="110"/>
      <c r="D48" s="110"/>
      <c r="E48" s="110"/>
      <c r="F48" s="111"/>
      <c r="G48" s="24">
        <f>(G45+G47)*'Fane 14. Nøgletal'!C24</f>
        <v>95329.228625015967</v>
      </c>
      <c r="H48" s="14" t="s">
        <v>3</v>
      </c>
      <c r="I48" s="1"/>
    </row>
    <row r="49" spans="1:9" x14ac:dyDescent="0.25">
      <c r="A49" s="1"/>
      <c r="B49" s="36"/>
      <c r="C49" s="37"/>
      <c r="D49" s="37"/>
      <c r="E49" s="37"/>
      <c r="F49" s="37"/>
      <c r="G49" s="37"/>
      <c r="H49" s="20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06" t="s">
        <v>165</v>
      </c>
      <c r="C51" s="107"/>
      <c r="D51" s="107"/>
      <c r="E51" s="107"/>
      <c r="F51" s="107"/>
      <c r="G51" s="107"/>
      <c r="H51" s="108"/>
      <c r="I51" s="1"/>
    </row>
    <row r="52" spans="1:9" x14ac:dyDescent="0.25">
      <c r="A52" s="1"/>
      <c r="B52" s="109" t="s">
        <v>166</v>
      </c>
      <c r="C52" s="110"/>
      <c r="D52" s="110"/>
      <c r="E52" s="110"/>
      <c r="F52" s="111"/>
      <c r="G52" s="24">
        <f>(G45+G47-G48)*(1+'Fane 14. Nøgletal'!C14)</f>
        <v>6366776.122723124</v>
      </c>
      <c r="H52" s="14" t="s">
        <v>3</v>
      </c>
      <c r="I52" s="1"/>
    </row>
    <row r="53" spans="1:9" x14ac:dyDescent="0.25">
      <c r="A53" s="1"/>
      <c r="B53" s="109" t="s">
        <v>167</v>
      </c>
      <c r="C53" s="110"/>
      <c r="D53" s="110"/>
      <c r="E53" s="110"/>
      <c r="F53" s="111"/>
      <c r="G53" s="34">
        <f>-'Fane 13. Bortfald'!E24*(1+'Fane 14. Nøgletal'!C14)</f>
        <v>0</v>
      </c>
      <c r="H53" s="14" t="s">
        <v>3</v>
      </c>
      <c r="I53" s="1"/>
    </row>
    <row r="54" spans="1:9" x14ac:dyDescent="0.25">
      <c r="A54" s="1"/>
      <c r="B54" s="109" t="s">
        <v>168</v>
      </c>
      <c r="C54" s="110"/>
      <c r="D54" s="110"/>
      <c r="E54" s="110"/>
      <c r="F54" s="111"/>
      <c r="G54" s="24">
        <f>(G52+G53)*'Fane 14. Nøgletal'!C24</f>
        <v>94228.286616302241</v>
      </c>
      <c r="H54" s="14" t="s">
        <v>3</v>
      </c>
      <c r="I54" s="1"/>
    </row>
    <row r="55" spans="1:9" x14ac:dyDescent="0.25">
      <c r="A55" s="1"/>
      <c r="B55" s="36"/>
      <c r="C55" s="37"/>
      <c r="D55" s="37"/>
      <c r="E55" s="37"/>
      <c r="F55" s="37"/>
      <c r="G55" s="37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06" t="s">
        <v>225</v>
      </c>
      <c r="C57" s="107"/>
      <c r="D57" s="107"/>
      <c r="E57" s="107"/>
      <c r="F57" s="107"/>
      <c r="G57" s="107"/>
      <c r="H57" s="108"/>
      <c r="I57" s="1"/>
    </row>
    <row r="58" spans="1:9" x14ac:dyDescent="0.25">
      <c r="A58" s="1"/>
      <c r="B58" s="109" t="s">
        <v>166</v>
      </c>
      <c r="C58" s="110"/>
      <c r="D58" s="110"/>
      <c r="E58" s="110"/>
      <c r="F58" s="111"/>
      <c r="G58" s="24">
        <f>(G52+G53-G54)*(1+'Fane 14. Nøgletal'!C14)</f>
        <v>6293247.243965975</v>
      </c>
      <c r="H58" s="14" t="s">
        <v>3</v>
      </c>
      <c r="I58" s="1"/>
    </row>
    <row r="59" spans="1:9" x14ac:dyDescent="0.25">
      <c r="A59" s="1"/>
      <c r="B59" s="109" t="s">
        <v>254</v>
      </c>
      <c r="C59" s="110"/>
      <c r="D59" s="110"/>
      <c r="E59" s="110"/>
      <c r="F59" s="111"/>
      <c r="G59" s="34">
        <v>0</v>
      </c>
      <c r="H59" s="14" t="s">
        <v>3</v>
      </c>
      <c r="I59" s="1"/>
    </row>
    <row r="60" spans="1:9" x14ac:dyDescent="0.25">
      <c r="A60" s="1"/>
      <c r="B60" s="109" t="s">
        <v>255</v>
      </c>
      <c r="C60" s="110"/>
      <c r="D60" s="110"/>
      <c r="E60" s="110"/>
      <c r="F60" s="111"/>
      <c r="G60" s="24">
        <f>(G58+G59)*'Fane 14. Nøgletal'!C24</f>
        <v>93140.059210696432</v>
      </c>
      <c r="H60" s="14" t="s">
        <v>3</v>
      </c>
      <c r="I60" s="1"/>
    </row>
    <row r="61" spans="1:9" x14ac:dyDescent="0.25">
      <c r="A61" s="1"/>
      <c r="B61" s="36"/>
      <c r="C61" s="37"/>
      <c r="D61" s="37"/>
      <c r="E61" s="37"/>
      <c r="F61" s="37"/>
      <c r="G61" s="37"/>
      <c r="H61" s="20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</sheetData>
  <sheetProtection algorithmName="SHA-512" hashValue="hvecBcz5vU+c7AofhLz0auNDly2bqQRFEkdcavte9snJwEiprF9aMPVxTlRwCsnNDfDd9Ij3w1N0QIHv2fFOXQ==" saltValue="AXrnKfs1ozd3s/QKeFcrvw==" spinCount="100000" sheet="1" objects="1" scenarios="1"/>
  <mergeCells count="41">
    <mergeCell ref="B57:H57"/>
    <mergeCell ref="B45:F45"/>
    <mergeCell ref="B58:F58"/>
    <mergeCell ref="B59:F59"/>
    <mergeCell ref="B60:F60"/>
    <mergeCell ref="B46:F46"/>
    <mergeCell ref="B47:F47"/>
    <mergeCell ref="B53:F53"/>
    <mergeCell ref="B52:F52"/>
    <mergeCell ref="B54:F54"/>
    <mergeCell ref="B51:H51"/>
    <mergeCell ref="B48:F48"/>
    <mergeCell ref="B23:H23"/>
    <mergeCell ref="B17:H17"/>
    <mergeCell ref="B19:F19"/>
    <mergeCell ref="B24:F24"/>
    <mergeCell ref="B40:F40"/>
    <mergeCell ref="B32:F32"/>
    <mergeCell ref="B33:F33"/>
    <mergeCell ref="B39:F39"/>
    <mergeCell ref="B26:F26"/>
    <mergeCell ref="B27:F27"/>
    <mergeCell ref="B41:F41"/>
    <mergeCell ref="B44:H44"/>
    <mergeCell ref="B25:F25"/>
    <mergeCell ref="B30:H30"/>
    <mergeCell ref="B31:F31"/>
    <mergeCell ref="B35:F35"/>
    <mergeCell ref="B38:H38"/>
    <mergeCell ref="B34:F34"/>
    <mergeCell ref="B2:H3"/>
    <mergeCell ref="B20:F20"/>
    <mergeCell ref="B5:H5"/>
    <mergeCell ref="B6:F6"/>
    <mergeCell ref="B7:F7"/>
    <mergeCell ref="B10:H10"/>
    <mergeCell ref="B12:F12"/>
    <mergeCell ref="B11:F11"/>
    <mergeCell ref="B13:F13"/>
    <mergeCell ref="B14:F14"/>
    <mergeCell ref="B18:F18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2" t="s">
        <v>80</v>
      </c>
      <c r="C3" s="82"/>
      <c r="D3" s="82"/>
      <c r="E3" s="82"/>
      <c r="F3" s="82"/>
      <c r="G3" s="82"/>
      <c r="H3" s="82"/>
      <c r="I3" s="1"/>
    </row>
    <row r="4" spans="1:9" ht="15" customHeight="1" x14ac:dyDescent="0.25">
      <c r="A4" s="1"/>
      <c r="B4" s="82"/>
      <c r="C4" s="82"/>
      <c r="D4" s="82"/>
      <c r="E4" s="82"/>
      <c r="F4" s="82"/>
      <c r="G4" s="82"/>
      <c r="H4" s="8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06" t="s">
        <v>10</v>
      </c>
      <c r="C8" s="107"/>
      <c r="D8" s="107"/>
      <c r="E8" s="107"/>
      <c r="F8" s="107"/>
      <c r="G8" s="107"/>
      <c r="H8" s="108"/>
      <c r="I8" s="1"/>
    </row>
    <row r="9" spans="1:9" x14ac:dyDescent="0.25">
      <c r="A9" s="1"/>
      <c r="B9" s="109" t="s">
        <v>261</v>
      </c>
      <c r="C9" s="110"/>
      <c r="D9" s="110"/>
      <c r="E9" s="110"/>
      <c r="F9" s="111"/>
      <c r="G9" s="23">
        <v>0</v>
      </c>
      <c r="H9" s="14"/>
      <c r="I9" s="1"/>
    </row>
    <row r="10" spans="1:9" x14ac:dyDescent="0.25">
      <c r="A10" s="1"/>
      <c r="B10" s="109" t="s">
        <v>105</v>
      </c>
      <c r="C10" s="110"/>
      <c r="D10" s="110"/>
      <c r="E10" s="110"/>
      <c r="F10" s="111"/>
      <c r="G10" s="23">
        <v>0</v>
      </c>
      <c r="H10" s="14"/>
      <c r="I10" s="1"/>
    </row>
    <row r="11" spans="1:9" x14ac:dyDescent="0.25">
      <c r="A11" s="1"/>
      <c r="B11" s="109" t="s">
        <v>195</v>
      </c>
      <c r="C11" s="110"/>
      <c r="D11" s="110"/>
      <c r="E11" s="110"/>
      <c r="F11" s="111"/>
      <c r="G11" s="23">
        <v>0</v>
      </c>
      <c r="H11" s="14"/>
      <c r="I11" s="1"/>
    </row>
    <row r="12" spans="1:9" x14ac:dyDescent="0.25">
      <c r="A12" s="1"/>
      <c r="B12" s="36"/>
      <c r="C12" s="37"/>
      <c r="D12" s="37"/>
      <c r="E12" s="37"/>
      <c r="F12" s="37"/>
      <c r="G12" s="37"/>
      <c r="H12" s="20"/>
      <c r="I12" s="1"/>
    </row>
    <row r="13" spans="1:9" ht="40.5" customHeight="1" x14ac:dyDescent="0.25">
      <c r="A13" s="1"/>
      <c r="B13" s="119" t="s">
        <v>196</v>
      </c>
      <c r="C13" s="119"/>
      <c r="D13" s="119"/>
      <c r="E13" s="119"/>
      <c r="F13" s="119"/>
      <c r="G13" s="119"/>
      <c r="H13" s="119"/>
      <c r="I13" s="1"/>
    </row>
    <row r="14" spans="1:9" ht="30.75" customHeight="1" x14ac:dyDescent="0.25">
      <c r="A14" s="18"/>
      <c r="B14" s="1"/>
      <c r="C14" s="1"/>
      <c r="D14" s="1"/>
      <c r="E14" s="1"/>
      <c r="F14" s="1"/>
      <c r="G14" s="1"/>
      <c r="H14" s="1"/>
      <c r="I14" s="18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3lVFEK3fxT2LB/gHq3ly50ZyD9J3VZeRA4/OIRyjIZVYcXn9iyBhW9ydXw5U4pgjC6z/igt9FKNUTrHsZqdhiQ==" saltValue="YzlDd5DgQGiA0ZTay6oBkQ==" spinCount="100000" sheet="1" objects="1" scenarios="1"/>
  <mergeCells count="6">
    <mergeCell ref="B3:H4"/>
    <mergeCell ref="B13:H13"/>
    <mergeCell ref="B8:H8"/>
    <mergeCell ref="B10:F10"/>
    <mergeCell ref="B11:F11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Korrektion af ØR2020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Christina Cramer Calonius Hoffgaard</cp:lastModifiedBy>
  <cp:lastPrinted>2016-06-14T12:57:30Z</cp:lastPrinted>
  <dcterms:created xsi:type="dcterms:W3CDTF">2016-06-02T08:51:18Z</dcterms:created>
  <dcterms:modified xsi:type="dcterms:W3CDTF">2021-10-06T12:00:43Z</dcterms:modified>
</cp:coreProperties>
</file>