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AQUADJURS AS (S003)\ØR2023\"/>
    </mc:Choice>
  </mc:AlternateContent>
  <xr:revisionPtr revIDLastSave="0" documentId="13_ncr:1_{40F523EE-19AD-4183-B851-8E663F9BFECE}" xr6:coauthVersionLast="36" xr6:coauthVersionMax="36" xr10:uidLastSave="{00000000-0000-0000-0000-000000000000}"/>
  <bookViews>
    <workbookView xWindow="3120" yWindow="990" windowWidth="12750" windowHeight="4620" tabRatio="872" firstSheet="12" activeTab="17"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91029"/>
</workbook>
</file>

<file path=xl/calcChain.xml><?xml version="1.0" encoding="utf-8"?>
<calcChain xmlns="http://schemas.openxmlformats.org/spreadsheetml/2006/main">
  <c r="E24" i="32" l="1"/>
  <c r="E32" i="32" s="1"/>
  <c r="E34" i="32" s="1"/>
  <c r="C20" i="23" l="1"/>
  <c r="C20" i="22"/>
  <c r="C20" i="15"/>
  <c r="E28" i="32"/>
  <c r="C32" i="2" s="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C16" i="15" s="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1" i="37" s="1"/>
  <c r="C12" i="37" l="1"/>
  <c r="C10" i="2" s="1"/>
  <c r="G44" i="30" s="1"/>
  <c r="G35" i="36"/>
  <c r="G37" i="36" l="1"/>
  <c r="E19" i="27" s="1"/>
  <c r="G41" i="36" l="1"/>
  <c r="G27" i="30"/>
  <c r="G31" i="30" l="1"/>
  <c r="E10" i="37"/>
  <c r="E11" i="37" s="1"/>
  <c r="G33" i="30" l="1"/>
  <c r="G37" i="30" s="1"/>
  <c r="G39" i="30" s="1"/>
  <c r="E12"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<sst xmlns="http://schemas.openxmlformats.org/spreadsheetml/2006/main" count="606" uniqueCount="289">
  <si>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</si>
  <si>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</si>
  <si>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</si>
  <si>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</si>
  <si>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</si>
  <si>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</si>
  <si>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</si>
  <si>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</si>
  <si>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</si>
  <si>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</si>
  <si>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</si>
  <si>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</si>
  <si>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</si>
  <si>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</si>
  <si>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</si>
  <si>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</si>
  <si>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</si>
  <si>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</si>
  <si>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</si>
  <si>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</si>
  <si>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</si>
  <si>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</si>
  <si>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</si>
  <si>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</si>
  <si>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</si>
  <si>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</si>
  <si>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</si>
  <si>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</si>
  <si>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</si>
  <si>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</si>
  <si>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</si>
  <si>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</si>
  <si>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</si>
  <si>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</si>
  <si>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</si>
  <si>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</si>
  <si>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</si>
  <si>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</si>
  <si>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</si>
  <si>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</si>
  <si>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</si>
  <si>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</si>
  <si>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</si>
  <si>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</si>
  <si>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</si>
  <si>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</si>
  <si>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</si>
  <si>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</si>
  <si>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</si>
  <si>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</si>
  <si>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</si>
  <si>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</si>
  <si>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</si>
  <si>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</si>
  <si>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</si>
  <si>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</si>
  <si>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</si>
  <si>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</si>
  <si>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</si>
  <si>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</si>
  <si>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</si>
  <si>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</si>
  <si>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</si>
  <si>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</si>
  <si>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</si>
  <si>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</si>
  <si>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</si>
  <si>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</si>
  <si>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</si>
  <si>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</si>
  <si>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</si>
  <si>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</si>
  <si>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</si>
  <si>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</si>
  <si>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</si>
  <si>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</si>
  <si>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</si>
  <si>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</si>
  <si>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</si>
  <si>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</si>
  <si>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</si>
  <si>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</si>
  <si>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</si>
  <si>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</si>
  <si>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</si>
  <si>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</si>
  <si>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</si>
  <si>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</si>
  <si>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</si>
  <si>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</si>
  <si>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</si>
  <si>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</si>
  <si>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</si>
  <si>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</si>
  <si>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</si>
  <si>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</si>
  <si>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</si>
  <si>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</si>
  <si>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</si>
  <si>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</si>
  <si>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</si>
  <si>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</si>
  <si>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</si>
  <si>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</si>
  <si>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</si>
  <si>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</si>
  <si>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</si>
  <si>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</si>
  <si>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</si>
  <si>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</si>
  <si>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</si>
  <si>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</si>
  <si>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</si>
  <si>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</si>
  <si>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</si>
  <si>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</si>
  <si>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</si>
  <si>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</si>
  <si>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</si>
  <si>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</si>
  <si>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</si>
  <si>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</si>
  <si>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</si>
  <si>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</si>
  <si>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</si>
  <si>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</si>
  <si>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</si>
  <si>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</si>
  <si>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</si>
  <si>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</si>
  <si>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</si>
  <si>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</si>
  <si>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</si>
  <si>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</si>
  <si>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</si>
  <si>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</si>
  <si>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</si>
  <si>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</si>
  <si>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</si>
  <si>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</si>
  <si>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</si>
  <si>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</si>
  <si>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</si>
  <si>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</si>
  <si>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</si>
  <si>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</si>
  <si>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</si>
  <si>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</si>
  <si>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</si>
  <si>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</si>
  <si>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</si>
  <si>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</si>
  <si>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</si>
  <si>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</si>
  <si>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</si>
  <si>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</si>
  <si>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</si>
  <si>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</si>
  <si>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</si>
  <si>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</si>
  <si>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</si>
  <si>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</si>
  <si>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</si>
  <si>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</si>
  <si>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</si>
  <si>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</si>
  <si>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</si>
  <si>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</si>
  <si>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</si>
  <si>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</si>
  <si>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</si>
  <si>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</si>
  <si>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</si>
  <si>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</si>
  <si>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</si>
  <si>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</si>
  <si>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</si>
  <si>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</si>
  <si>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</si>
  <si>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</si>
  <si>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</si>
  <si>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</si>
  <si>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</si>
  <si>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</si>
  <si>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</si>
  <si>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</si>
  <si>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</si>
  <si>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</si>
  <si>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</si>
  <si>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</si>
  <si>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</si>
  <si>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</si>
  <si>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</si>
  <si>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</si>
  <si>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</si>
  <si>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</si>
  <si>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</si>
  <si>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</si>
  <si>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</si>
  <si>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</si>
  <si>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</si>
  <si>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</si>
  <si>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</si>
  <si>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</si>
  <si>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</si>
  <si>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</si>
  <si>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</si>
  <si>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</si>
  <si>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</si>
  <si>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</si>
  <si>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</si>
  <si>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</si>
  <si>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</si>
  <si>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</si>
  <si>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</si>
  <si>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</si>
  <si>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</si>
  <si>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</si>
  <si>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</si>
  <si>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</si>
  <si>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</si>
  <si>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</si>
  <si>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</si>
  <si>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</si>
  <si>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</si>
  <si>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</si>
  <si>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</si>
  <si>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</si>
  <si>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</si>
  <si>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</si>
  <si>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</si>
  <si>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</si>
  <si>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</si>
  <si>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</si>
  <si>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</si>
  <si>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</si>
  <si>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</si>
  <si>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</si>
  <si>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</si>
  <si>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</si>
  <si>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</si>
  <si>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</si>
  <si>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</si>
  <si>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</si>
  <si>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</si>
  <si>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</si>
  <si>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</si>
  <si>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</si>
  <si>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</si>
  <si>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</si>
  <si>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</si>
  <si>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</si>
  <si>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</si>
  <si>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</si>
  <si>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</si>
  <si>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</si>
  <si>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</si>
  <si>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</si>
  <si>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</si>
  <si>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</si>
  <si>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</si>
  <si>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</si>
  <si>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</si>
  <si>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</si>
  <si>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</si>
  <si>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</si>
  <si>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</si>
  <si>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</si>
  <si>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</si>
  <si>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</si>
  <si>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</si>
  <si>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</si>
  <si>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Undersøgelsesudgifter i forbindelse med fusion</t>
  </si>
  <si>
    <t>Resultat af kontrol med overholdelse af den økonomiske ramme for 2021</t>
  </si>
  <si>
    <t>Ingen tilknyttet virksomhed under hovedvirksomheden</t>
  </si>
  <si>
    <t xml:space="preserve">Ingen anlægsprojekter </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</si>
  <si>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</si>
  <si>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</si>
  <si>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</si>
  <si>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</si>
  <si>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</si>
  <si>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</si>
  <si>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</si>
  <si>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</si>
  <si>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</si>
  <si>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</si>
  <si>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</si>
  <si>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</si>
  <si>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 xml:space="preserve">Ingen engangstillæg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</si>
</sst>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49" fontId="8" fillId="8" borderId="2" xfId="0" applyNumberFormat="1"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view="pageLayout" topLeftCell="A22"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7" t="s">
        <v>4</v>
      </c>
      <c r="E6" s="107"/>
      <c r="F6" s="107"/>
      <c r="G6" s="107"/>
      <c r="H6" s="3"/>
      <c r="I6" s="1"/>
    </row>
    <row r="7" spans="1:9" ht="15" customHeight="1" x14ac:dyDescent="0.25">
      <c r="A7" s="1"/>
      <c r="B7" s="1"/>
      <c r="C7" s="3"/>
      <c r="D7" s="107"/>
      <c r="E7" s="107"/>
      <c r="F7" s="107"/>
      <c r="G7" s="107"/>
      <c r="H7" s="3"/>
      <c r="I7" s="1"/>
    </row>
    <row r="8" spans="1:9" ht="15.75" x14ac:dyDescent="0.25">
      <c r="A8" s="1"/>
      <c r="B8" s="1"/>
      <c r="C8" s="4"/>
      <c r="D8" s="112" t="s">
        <v>227</v>
      </c>
      <c r="E8" s="112"/>
      <c r="F8" s="112"/>
      <c r="G8" s="112"/>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1" t="s">
        <v>5</v>
      </c>
      <c r="E11" s="111"/>
      <c r="F11" s="111"/>
      <c r="G11" s="111"/>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104" t="s">
        <v>237</v>
      </c>
      <c r="E14" s="105"/>
      <c r="F14" s="105"/>
      <c r="G14" s="106"/>
      <c r="H14" s="5"/>
      <c r="I14" s="1"/>
    </row>
    <row r="15" spans="1:9" x14ac:dyDescent="0.25">
      <c r="A15" s="1"/>
      <c r="B15" s="1"/>
      <c r="C15" s="6" t="s">
        <v>34</v>
      </c>
      <c r="D15" s="104" t="s">
        <v>170</v>
      </c>
      <c r="E15" s="105"/>
      <c r="F15" s="105"/>
      <c r="G15" s="106"/>
      <c r="H15" s="5"/>
      <c r="I15" s="1"/>
    </row>
    <row r="16" spans="1:9" x14ac:dyDescent="0.25">
      <c r="A16" s="1"/>
      <c r="B16" s="1"/>
      <c r="C16" s="6" t="s">
        <v>35</v>
      </c>
      <c r="D16" s="104" t="s">
        <v>183</v>
      </c>
      <c r="E16" s="105"/>
      <c r="F16" s="105"/>
      <c r="G16" s="106"/>
      <c r="H16" s="5"/>
      <c r="I16" s="1"/>
    </row>
    <row r="17" spans="1:9" x14ac:dyDescent="0.25">
      <c r="A17" s="1"/>
      <c r="B17" s="1"/>
      <c r="C17" s="6" t="s">
        <v>119</v>
      </c>
      <c r="D17" s="104" t="s">
        <v>184</v>
      </c>
      <c r="E17" s="105"/>
      <c r="F17" s="105"/>
      <c r="G17" s="106"/>
      <c r="H17" s="5"/>
      <c r="I17" s="1"/>
    </row>
    <row r="18" spans="1:9" x14ac:dyDescent="0.25">
      <c r="A18" s="1"/>
      <c r="B18" s="1"/>
      <c r="C18" s="6" t="s">
        <v>106</v>
      </c>
      <c r="D18" s="101" t="s">
        <v>95</v>
      </c>
      <c r="E18" s="102"/>
      <c r="F18" s="102"/>
      <c r="G18" s="103"/>
      <c r="H18" s="5"/>
      <c r="I18" s="1"/>
    </row>
    <row r="19" spans="1:9" x14ac:dyDescent="0.25">
      <c r="A19" s="1"/>
      <c r="B19" s="1"/>
      <c r="C19" s="6" t="s">
        <v>107</v>
      </c>
      <c r="D19" s="101" t="s">
        <v>96</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108</v>
      </c>
      <c r="D21" s="108" t="s">
        <v>12</v>
      </c>
      <c r="E21" s="109"/>
      <c r="F21" s="109"/>
      <c r="G21" s="110"/>
      <c r="H21" s="5"/>
      <c r="I21" s="1"/>
    </row>
    <row r="22" spans="1:9" x14ac:dyDescent="0.25">
      <c r="A22" s="1"/>
      <c r="B22" s="1"/>
      <c r="C22" s="6" t="s">
        <v>83</v>
      </c>
      <c r="D22" s="95" t="s">
        <v>185</v>
      </c>
      <c r="E22" s="96"/>
      <c r="F22" s="96"/>
      <c r="G22" s="97"/>
      <c r="H22" s="5"/>
      <c r="I22" s="1"/>
    </row>
    <row r="23" spans="1:9" x14ac:dyDescent="0.25">
      <c r="A23" s="1"/>
      <c r="B23" s="1"/>
      <c r="C23" s="6" t="s">
        <v>8</v>
      </c>
      <c r="D23" s="95" t="s">
        <v>255</v>
      </c>
      <c r="E23" s="96"/>
      <c r="F23" s="96"/>
      <c r="G23" s="97"/>
      <c r="H23" s="5"/>
      <c r="I23" s="1"/>
    </row>
    <row r="24" spans="1:9" x14ac:dyDescent="0.25">
      <c r="A24" s="1"/>
      <c r="B24" s="1"/>
      <c r="C24" s="6" t="s">
        <v>9</v>
      </c>
      <c r="D24" s="95" t="s">
        <v>186</v>
      </c>
      <c r="E24" s="96"/>
      <c r="F24" s="96"/>
      <c r="G24" s="97"/>
      <c r="H24" s="5"/>
      <c r="I24" s="1"/>
    </row>
    <row r="25" spans="1:9" x14ac:dyDescent="0.25">
      <c r="A25" s="1"/>
      <c r="B25" s="1"/>
      <c r="C25" s="6" t="s">
        <v>248</v>
      </c>
      <c r="D25" s="95" t="s">
        <v>239</v>
      </c>
      <c r="E25" s="96"/>
      <c r="F25" s="96"/>
      <c r="G25" s="97"/>
      <c r="H25" s="1"/>
      <c r="I25" s="1"/>
    </row>
    <row r="26" spans="1:9" x14ac:dyDescent="0.25">
      <c r="A26" s="1"/>
      <c r="B26" s="1"/>
      <c r="C26" s="6" t="s">
        <v>249</v>
      </c>
      <c r="D26" s="95" t="s">
        <v>84</v>
      </c>
      <c r="E26" s="96"/>
      <c r="F26" s="96"/>
      <c r="G26" s="97"/>
      <c r="H26" s="1"/>
      <c r="I26" s="1"/>
    </row>
    <row r="27" spans="1:9" x14ac:dyDescent="0.25">
      <c r="A27" s="1"/>
      <c r="B27" s="1"/>
      <c r="C27" s="6" t="s">
        <v>250</v>
      </c>
      <c r="D27" s="95" t="s">
        <v>85</v>
      </c>
      <c r="E27" s="96"/>
      <c r="F27" s="96"/>
      <c r="G27" s="97"/>
      <c r="H27" s="1"/>
      <c r="I27" s="1"/>
    </row>
    <row r="28" spans="1:9" x14ac:dyDescent="0.25">
      <c r="A28" s="1"/>
      <c r="B28" s="1"/>
      <c r="C28" s="6" t="s">
        <v>15</v>
      </c>
      <c r="D28" s="95" t="s">
        <v>86</v>
      </c>
      <c r="E28" s="96"/>
      <c r="F28" s="96"/>
      <c r="G28" s="97"/>
      <c r="H28" s="1"/>
      <c r="I28" s="1"/>
    </row>
    <row r="29" spans="1:9" x14ac:dyDescent="0.25">
      <c r="A29" s="1"/>
      <c r="B29" s="1"/>
      <c r="C29" s="6" t="s">
        <v>37</v>
      </c>
      <c r="D29" s="95" t="s">
        <v>134</v>
      </c>
      <c r="E29" s="96"/>
      <c r="F29" s="96"/>
      <c r="G29" s="97"/>
      <c r="H29" s="1"/>
      <c r="I29" s="1"/>
    </row>
    <row r="30" spans="1:9" x14ac:dyDescent="0.25">
      <c r="A30" s="1"/>
      <c r="B30" s="1"/>
      <c r="C30" s="6" t="s">
        <v>38</v>
      </c>
      <c r="D30" s="95" t="s">
        <v>36</v>
      </c>
      <c r="E30" s="96"/>
      <c r="F30" s="96"/>
      <c r="G30" s="97"/>
      <c r="H30" s="1"/>
      <c r="I30" s="1"/>
    </row>
    <row r="31" spans="1:9" x14ac:dyDescent="0.25">
      <c r="A31" s="1"/>
      <c r="B31" s="1"/>
      <c r="C31" s="6" t="s">
        <v>251</v>
      </c>
      <c r="D31" s="98" t="s">
        <v>105</v>
      </c>
      <c r="E31" s="99"/>
      <c r="F31" s="99"/>
      <c r="G31" s="10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ZJSfaeU9oIVOPtS42vu/ry2x4oH34jXzWlnPpYxm0F0K8Hk1A7WiY1VOKKBeJMCtmU5om2cmIvpZabHUEOdIQ==" saltValue="Yu+ZW3dUq3MqQUDjdlfNB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2:G22" location="'Fane 7. Kontrol af ØR2021'!A1" display="Kontrol af den økonomiske ramme for 2021"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2'!A1" display="Omkostninger i ØR2022"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1'!A1" display="Korrektion af den økonomiske ramme for 2021"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111</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8" t="s">
        <v>200</v>
      </c>
      <c r="C8" s="129"/>
      <c r="D8" s="130"/>
      <c r="E8" s="1"/>
      <c r="F8" s="1"/>
    </row>
    <row r="9" spans="1:6" ht="15" customHeight="1" x14ac:dyDescent="0.25">
      <c r="A9" s="1"/>
      <c r="B9" s="26" t="s">
        <v>32</v>
      </c>
      <c r="C9" s="55" t="s">
        <v>242</v>
      </c>
      <c r="D9" s="11"/>
      <c r="E9" s="1"/>
      <c r="F9" s="1"/>
    </row>
    <row r="10" spans="1:6" x14ac:dyDescent="0.25">
      <c r="A10" s="1"/>
      <c r="B10" s="91" t="s">
        <v>268</v>
      </c>
      <c r="C10" s="9">
        <v>1695462</v>
      </c>
      <c r="D10" s="14" t="s">
        <v>3</v>
      </c>
      <c r="E10" s="1"/>
      <c r="F10" s="1"/>
    </row>
    <row r="11" spans="1:6" x14ac:dyDescent="0.25">
      <c r="A11" s="1"/>
      <c r="B11" s="91" t="s">
        <v>269</v>
      </c>
      <c r="C11" s="9">
        <v>119161</v>
      </c>
      <c r="D11" s="14" t="s">
        <v>3</v>
      </c>
      <c r="E11" s="1"/>
      <c r="F11" s="1"/>
    </row>
    <row r="12" spans="1:6" x14ac:dyDescent="0.25">
      <c r="A12" s="1"/>
      <c r="B12" s="91" t="s">
        <v>270</v>
      </c>
      <c r="C12" s="9">
        <v>2224787.19</v>
      </c>
      <c r="D12" s="14" t="s">
        <v>3</v>
      </c>
      <c r="E12" s="1"/>
      <c r="F12" s="1"/>
    </row>
    <row r="13" spans="1:6" x14ac:dyDescent="0.25">
      <c r="A13" s="1"/>
      <c r="B13" s="91" t="s">
        <v>271</v>
      </c>
      <c r="C13" s="9">
        <v>98090.89</v>
      </c>
      <c r="D13" s="14" t="s">
        <v>3</v>
      </c>
      <c r="E13" s="1"/>
      <c r="F13" s="1"/>
    </row>
    <row r="14" spans="1:6" x14ac:dyDescent="0.25">
      <c r="A14" s="1"/>
      <c r="B14" s="91" t="s">
        <v>272</v>
      </c>
      <c r="C14" s="9">
        <v>91543.27</v>
      </c>
      <c r="D14" s="14" t="s">
        <v>3</v>
      </c>
      <c r="E14" s="1"/>
      <c r="F14" s="1"/>
    </row>
    <row r="15" spans="1:6" x14ac:dyDescent="0.25">
      <c r="A15" s="1"/>
      <c r="B15" s="32" t="s">
        <v>201</v>
      </c>
      <c r="C15" s="12">
        <f>SUM(C10:C14)</f>
        <v>4229044.3499999996</v>
      </c>
      <c r="D15" s="13" t="s">
        <v>3</v>
      </c>
      <c r="E15" s="1"/>
      <c r="F15" s="1"/>
    </row>
    <row r="16" spans="1:6" x14ac:dyDescent="0.25">
      <c r="A16" s="1"/>
      <c r="B16" s="32" t="s">
        <v>202</v>
      </c>
      <c r="C16" s="12">
        <f>C15*(1+'Fane 15. Nøgletal'!C15)^2</f>
        <v>4535512.0293674162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8" t="s">
        <v>117</v>
      </c>
      <c r="C19" s="129"/>
      <c r="D19" s="130"/>
      <c r="E19" s="1"/>
      <c r="F19" s="1"/>
    </row>
    <row r="20" spans="1:6" x14ac:dyDescent="0.25">
      <c r="A20" s="1"/>
      <c r="B20" s="91" t="s">
        <v>99</v>
      </c>
      <c r="C20" s="9">
        <v>0</v>
      </c>
      <c r="D20" s="14" t="s">
        <v>3</v>
      </c>
      <c r="E20" s="1"/>
      <c r="F20" s="1"/>
    </row>
    <row r="21" spans="1:6" x14ac:dyDescent="0.25">
      <c r="A21" s="1"/>
      <c r="B21" s="91" t="s">
        <v>129</v>
      </c>
      <c r="C21" s="9">
        <v>0</v>
      </c>
      <c r="D21" s="14" t="s">
        <v>3</v>
      </c>
      <c r="E21" s="1"/>
      <c r="F21" s="1"/>
    </row>
    <row r="22" spans="1:6" x14ac:dyDescent="0.25">
      <c r="A22" s="1"/>
      <c r="B22" s="91" t="s">
        <v>155</v>
      </c>
      <c r="C22" s="9">
        <v>0</v>
      </c>
      <c r="D22" s="14" t="s">
        <v>3</v>
      </c>
      <c r="E22" s="1"/>
      <c r="F22" s="1"/>
    </row>
    <row r="23" spans="1:6" x14ac:dyDescent="0.25">
      <c r="A23" s="1"/>
      <c r="B23" s="33" t="s">
        <v>203</v>
      </c>
      <c r="C23" s="9">
        <v>0</v>
      </c>
      <c r="D23" s="40" t="s">
        <v>3</v>
      </c>
      <c r="E23" s="1"/>
      <c r="F23" s="1"/>
    </row>
    <row r="24" spans="1:6" x14ac:dyDescent="0.25">
      <c r="A24" s="1"/>
      <c r="B24" s="128"/>
      <c r="C24" s="129"/>
      <c r="D24" s="130"/>
      <c r="E24" s="1"/>
      <c r="F24" s="1"/>
    </row>
    <row r="25" spans="1:6" x14ac:dyDescent="0.25">
      <c r="A25" s="1"/>
      <c r="B25" s="1"/>
      <c r="C25" s="1"/>
      <c r="D25" s="1"/>
      <c r="E25" s="1"/>
      <c r="F25" s="1"/>
    </row>
    <row r="26" spans="1:6" x14ac:dyDescent="0.25">
      <c r="A26" s="1"/>
      <c r="B26" s="1"/>
      <c r="C26" s="1"/>
      <c r="D26" s="1"/>
      <c r="E26" s="1"/>
      <c r="F26" s="1"/>
    </row>
    <row r="27" spans="1:6" x14ac:dyDescent="0.25">
      <c r="A27" s="1"/>
      <c r="B27" s="128" t="s">
        <v>98</v>
      </c>
      <c r="C27" s="129"/>
      <c r="D27" s="130"/>
      <c r="E27" s="1"/>
      <c r="F27" s="1"/>
    </row>
    <row r="28" spans="1:6" x14ac:dyDescent="0.25">
      <c r="A28" s="1"/>
      <c r="B28" s="91" t="s">
        <v>99</v>
      </c>
      <c r="C28" s="9">
        <v>0</v>
      </c>
      <c r="D28" s="14" t="s">
        <v>3</v>
      </c>
      <c r="E28" s="1"/>
      <c r="F28" s="1"/>
    </row>
    <row r="29" spans="1:6" x14ac:dyDescent="0.25">
      <c r="A29" s="1"/>
      <c r="B29" s="91" t="s">
        <v>129</v>
      </c>
      <c r="C29" s="9">
        <v>0</v>
      </c>
      <c r="D29" s="14" t="s">
        <v>3</v>
      </c>
      <c r="E29" s="1"/>
      <c r="F29" s="1"/>
    </row>
    <row r="30" spans="1:6" x14ac:dyDescent="0.25">
      <c r="A30" s="1"/>
      <c r="B30" s="91" t="s">
        <v>155</v>
      </c>
      <c r="C30" s="9">
        <v>0</v>
      </c>
      <c r="D30" s="14" t="s">
        <v>3</v>
      </c>
      <c r="E30" s="1"/>
      <c r="F30" s="1"/>
    </row>
    <row r="31" spans="1:6" x14ac:dyDescent="0.25">
      <c r="A31" s="1"/>
      <c r="B31" s="33" t="s">
        <v>203</v>
      </c>
      <c r="C31" s="9">
        <v>0</v>
      </c>
      <c r="D31" s="40" t="s">
        <v>3</v>
      </c>
      <c r="E31" s="1"/>
      <c r="F31" s="1"/>
    </row>
    <row r="32" spans="1:6" x14ac:dyDescent="0.25">
      <c r="A32" s="1"/>
      <c r="B32" s="128"/>
      <c r="C32" s="129"/>
      <c r="D32" s="130"/>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oQWxue8n2h2wBTAyUP0iPUgXLIq2/xTIc1RyoaOUgdlNWsX41zdlcflfTjehZT4QtdEILZNNaemxd/Xk6moi0Q==" saltValue="kWyZdveLXqmnAuCDAOJ5Mg=="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G4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204</v>
      </c>
      <c r="C3" s="121"/>
      <c r="D3" s="121"/>
      <c r="E3" s="121"/>
      <c r="F3" s="121"/>
      <c r="G3" s="1"/>
    </row>
    <row r="4" spans="1:7" ht="15" customHeight="1" x14ac:dyDescent="0.25">
      <c r="A4" s="1"/>
      <c r="B4" s="121"/>
      <c r="C4" s="121"/>
      <c r="D4" s="121"/>
      <c r="E4" s="121"/>
      <c r="F4" s="121"/>
      <c r="G4" s="1"/>
    </row>
    <row r="5" spans="1:7" ht="15" customHeight="1" x14ac:dyDescent="0.25">
      <c r="A5" s="1"/>
      <c r="B5" s="79"/>
      <c r="C5" s="79"/>
      <c r="D5" s="79"/>
      <c r="E5" s="79"/>
      <c r="F5" s="79"/>
      <c r="G5" s="1"/>
    </row>
    <row r="6" spans="1:7" ht="15" customHeight="1" x14ac:dyDescent="0.25">
      <c r="A6" s="1"/>
      <c r="B6" s="79"/>
      <c r="C6" s="79"/>
      <c r="D6" s="79"/>
      <c r="E6" s="79"/>
      <c r="F6" s="79"/>
      <c r="G6" s="1"/>
    </row>
    <row r="7" spans="1:7" x14ac:dyDescent="0.25">
      <c r="A7" s="1"/>
      <c r="B7" s="1"/>
      <c r="C7" s="1"/>
      <c r="D7" s="1"/>
      <c r="E7" s="1"/>
      <c r="F7" s="1"/>
      <c r="G7" s="1"/>
    </row>
    <row r="8" spans="1:7" x14ac:dyDescent="0.25">
      <c r="A8" s="1"/>
      <c r="B8" s="128" t="s">
        <v>178</v>
      </c>
      <c r="C8" s="129"/>
      <c r="D8" s="129"/>
      <c r="E8" s="129"/>
      <c r="F8" s="130"/>
      <c r="G8" s="1"/>
    </row>
    <row r="9" spans="1:7" x14ac:dyDescent="0.25">
      <c r="A9" s="1"/>
      <c r="B9" s="133" t="s">
        <v>205</v>
      </c>
      <c r="C9" s="134"/>
      <c r="D9" s="135"/>
      <c r="E9" s="9">
        <v>19159486.529908627</v>
      </c>
      <c r="F9" s="14" t="s">
        <v>3</v>
      </c>
      <c r="G9" s="1"/>
    </row>
    <row r="10" spans="1:7" x14ac:dyDescent="0.25">
      <c r="A10" s="1"/>
      <c r="B10" s="133" t="s">
        <v>265</v>
      </c>
      <c r="C10" s="134"/>
      <c r="D10" s="135"/>
      <c r="E10" s="9">
        <v>19159486.529908627</v>
      </c>
      <c r="F10" s="14" t="s">
        <v>3</v>
      </c>
      <c r="G10" s="1"/>
    </row>
    <row r="11" spans="1:7" x14ac:dyDescent="0.25">
      <c r="A11" s="1"/>
      <c r="B11" s="32"/>
      <c r="C11" s="27"/>
      <c r="D11" s="27"/>
      <c r="E11" s="27"/>
      <c r="F11" s="19"/>
      <c r="G11" s="1"/>
    </row>
    <row r="12" spans="1:7" ht="67.5" customHeight="1" x14ac:dyDescent="0.25">
      <c r="A12" s="1"/>
      <c r="B12" s="118" t="s">
        <v>266</v>
      </c>
      <c r="C12" s="119"/>
      <c r="D12" s="119"/>
      <c r="E12" s="119"/>
      <c r="F12" s="120"/>
      <c r="G12" s="1"/>
    </row>
    <row r="13" spans="1:7" ht="27" customHeight="1" x14ac:dyDescent="0.25">
      <c r="A13" s="1"/>
      <c r="B13" s="1"/>
      <c r="C13" s="1"/>
      <c r="D13" s="1"/>
      <c r="E13" s="1"/>
      <c r="F13" s="1"/>
      <c r="G13" s="1"/>
    </row>
    <row r="14" spans="1:7" ht="28.5" customHeight="1" x14ac:dyDescent="0.25">
      <c r="A14" s="1"/>
      <c r="B14" s="128" t="s">
        <v>179</v>
      </c>
      <c r="C14" s="129"/>
      <c r="D14" s="129"/>
      <c r="E14" s="129"/>
      <c r="F14" s="130"/>
      <c r="G14" s="1"/>
    </row>
    <row r="15" spans="1:7" x14ac:dyDescent="0.25">
      <c r="A15" s="1"/>
      <c r="B15" s="133" t="s">
        <v>284</v>
      </c>
      <c r="C15" s="134"/>
      <c r="D15" s="135"/>
      <c r="E15" s="9">
        <v>0</v>
      </c>
      <c r="F15" s="14" t="s">
        <v>3</v>
      </c>
      <c r="G15" s="1"/>
    </row>
    <row r="16" spans="1:7" x14ac:dyDescent="0.25">
      <c r="A16" s="1"/>
      <c r="B16" s="133" t="s">
        <v>285</v>
      </c>
      <c r="C16" s="134"/>
      <c r="D16" s="135"/>
      <c r="E16" s="9">
        <v>0</v>
      </c>
      <c r="F16" s="14" t="s">
        <v>3</v>
      </c>
      <c r="G16" s="1"/>
    </row>
    <row r="17" spans="1:7" x14ac:dyDescent="0.25">
      <c r="A17" s="1"/>
      <c r="B17" s="32"/>
      <c r="C17" s="27"/>
      <c r="D17" s="27"/>
      <c r="E17" s="27"/>
      <c r="F17" s="19"/>
      <c r="G17" s="1"/>
    </row>
    <row r="18" spans="1:7" ht="31.5" customHeight="1" x14ac:dyDescent="0.25">
      <c r="A18" s="1"/>
      <c r="B18" s="118" t="s">
        <v>180</v>
      </c>
      <c r="C18" s="119"/>
      <c r="D18" s="119"/>
      <c r="E18" s="119"/>
      <c r="F18" s="120"/>
      <c r="G18" s="1"/>
    </row>
    <row r="19" spans="1:7" ht="28.5" customHeight="1" x14ac:dyDescent="0.25">
      <c r="A19" s="1"/>
      <c r="B19" s="1"/>
      <c r="C19" s="1"/>
      <c r="D19" s="1"/>
      <c r="E19" s="1"/>
      <c r="F19" s="1"/>
      <c r="G19" s="1"/>
    </row>
    <row r="20" spans="1:7" ht="28.5" customHeight="1" x14ac:dyDescent="0.25">
      <c r="A20" s="1"/>
      <c r="B20" s="83" t="s">
        <v>206</v>
      </c>
      <c r="C20" s="84"/>
      <c r="D20" s="84"/>
      <c r="E20" s="84"/>
      <c r="F20" s="85"/>
      <c r="G20" s="1"/>
    </row>
    <row r="21" spans="1:7" x14ac:dyDescent="0.25">
      <c r="A21" s="1"/>
      <c r="B21" s="88" t="s">
        <v>207</v>
      </c>
      <c r="C21" s="89"/>
      <c r="D21" s="90"/>
      <c r="E21" s="9">
        <v>82520172.266870052</v>
      </c>
      <c r="F21" s="14" t="s">
        <v>3</v>
      </c>
      <c r="G21" s="1"/>
    </row>
    <row r="22" spans="1:7" x14ac:dyDescent="0.25">
      <c r="A22" s="1"/>
      <c r="B22" s="88" t="s">
        <v>208</v>
      </c>
      <c r="C22" s="89"/>
      <c r="D22" s="90"/>
      <c r="E22" s="9">
        <v>68539658.459999993</v>
      </c>
      <c r="F22" s="14" t="s">
        <v>3</v>
      </c>
      <c r="G22" s="1"/>
    </row>
    <row r="23" spans="1:7" x14ac:dyDescent="0.25">
      <c r="A23" s="1"/>
      <c r="B23" s="88" t="s">
        <v>33</v>
      </c>
      <c r="C23" s="89"/>
      <c r="D23" s="90"/>
      <c r="E23" s="9">
        <v>0</v>
      </c>
      <c r="F23" s="14" t="s">
        <v>3</v>
      </c>
      <c r="G23" s="1"/>
    </row>
    <row r="24" spans="1:7" x14ac:dyDescent="0.25">
      <c r="A24" s="1"/>
      <c r="B24" s="86" t="s">
        <v>273</v>
      </c>
      <c r="C24" s="87"/>
      <c r="D24" s="93"/>
      <c r="E24" s="69">
        <f>E21-(E22-E23)</f>
        <v>13980513.806870058</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8" t="s">
        <v>286</v>
      </c>
      <c r="C27" s="129"/>
      <c r="D27" s="129"/>
      <c r="E27" s="129"/>
      <c r="F27" s="130"/>
      <c r="G27" s="1"/>
    </row>
    <row r="28" spans="1:7" x14ac:dyDescent="0.25">
      <c r="A28" s="1"/>
      <c r="B28" s="131" t="s">
        <v>287</v>
      </c>
      <c r="C28" s="132"/>
      <c r="D28" s="154"/>
      <c r="E28" s="70">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8"/>
      <c r="C29" s="129"/>
      <c r="D29" s="129"/>
      <c r="E29" s="129"/>
      <c r="F29" s="130"/>
      <c r="G29" s="1"/>
    </row>
    <row r="30" spans="1:7" x14ac:dyDescent="0.25">
      <c r="A30" s="1"/>
      <c r="B30" s="1"/>
      <c r="C30" s="1"/>
      <c r="D30" s="1"/>
      <c r="E30" s="1"/>
      <c r="F30" s="1"/>
      <c r="G30" s="1"/>
    </row>
    <row r="31" spans="1:7" ht="28.5" customHeight="1" x14ac:dyDescent="0.25">
      <c r="A31" s="1"/>
      <c r="B31" s="128" t="s">
        <v>267</v>
      </c>
      <c r="C31" s="129"/>
      <c r="D31" s="129"/>
      <c r="E31" s="129"/>
      <c r="F31" s="130"/>
      <c r="G31" s="1"/>
    </row>
    <row r="32" spans="1:7" x14ac:dyDescent="0.25">
      <c r="A32" s="1"/>
      <c r="B32" s="147" t="s">
        <v>143</v>
      </c>
      <c r="C32" s="148"/>
      <c r="D32" s="149"/>
      <c r="E32" s="71">
        <f>IF(AND(E9&gt;0,(E9+E24)&gt;0),0,IF(AND(E9&gt;0,(E9+E24)&lt;0),(E9+E24),IF(AND(E9&lt;0,E24&lt;0),E24,0)))</f>
        <v>0</v>
      </c>
      <c r="F32" s="14" t="s">
        <v>3</v>
      </c>
      <c r="G32" s="1"/>
    </row>
    <row r="33" spans="1:7" x14ac:dyDescent="0.25">
      <c r="A33" s="1"/>
      <c r="B33" s="147" t="s">
        <v>102</v>
      </c>
      <c r="C33" s="148"/>
      <c r="D33" s="149"/>
      <c r="E33" s="9">
        <v>4</v>
      </c>
      <c r="F33" s="14" t="s">
        <v>20</v>
      </c>
      <c r="G33" s="1"/>
    </row>
    <row r="34" spans="1:7" x14ac:dyDescent="0.25">
      <c r="A34" s="1"/>
      <c r="B34" s="150" t="s">
        <v>144</v>
      </c>
      <c r="C34" s="150"/>
      <c r="D34" s="150"/>
      <c r="E34" s="70">
        <f>E32/E33</f>
        <v>0</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YbxFAeJC3kIejaf33oFVMW0yN9wjBv15i1tdRoUD+j4OjTSgNzqPTG7HSqbD9pHvyR3623fPyxqLcKKMMUN5/A==" saltValue="NQl2MMaggCUOtwY+gwSPu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43"/>
  <sheetViews>
    <sheetView view="pageLayout" zoomScaleNormal="100" workbookViewId="0"/>
  </sheetViews>
  <sheetFormatPr defaultColWidth="9.140625" defaultRowHeight="15" x14ac:dyDescent="0.25"/>
  <cols>
    <col min="1" max="1" width="4.7109375" style="66" customWidth="1"/>
    <col min="2" max="2" width="22.5703125" style="66" customWidth="1"/>
    <col min="3" max="3" width="8.28515625" style="66" customWidth="1"/>
    <col min="4" max="6" width="10.7109375" style="66" customWidth="1"/>
    <col min="7" max="7" width="11.140625" style="66" customWidth="1"/>
    <col min="8" max="8" width="3.28515625" style="66" customWidth="1"/>
    <col min="9" max="9" width="4.85546875" style="66" customWidth="1"/>
    <col min="10" max="16384" width="9.140625" style="6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252</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8" t="s">
        <v>264</v>
      </c>
      <c r="C8" s="129"/>
      <c r="D8" s="129"/>
      <c r="E8" s="129"/>
      <c r="F8" s="129"/>
      <c r="G8" s="129"/>
      <c r="H8" s="130"/>
      <c r="I8" s="1"/>
    </row>
    <row r="9" spans="1:9" ht="15" customHeight="1" x14ac:dyDescent="0.25">
      <c r="A9" s="1"/>
      <c r="B9" s="125" t="s">
        <v>253</v>
      </c>
      <c r="C9" s="126"/>
      <c r="D9" s="126"/>
      <c r="E9" s="126"/>
      <c r="F9" s="126"/>
      <c r="G9" s="126"/>
      <c r="H9" s="127"/>
      <c r="I9" s="1"/>
    </row>
    <row r="10" spans="1:9" x14ac:dyDescent="0.25">
      <c r="A10" s="1"/>
      <c r="B10" s="155" t="s">
        <v>276</v>
      </c>
      <c r="C10" s="156"/>
      <c r="D10" s="156"/>
      <c r="E10" s="156"/>
      <c r="F10" s="157"/>
      <c r="G10" s="9">
        <v>0</v>
      </c>
      <c r="H10" s="9" t="s">
        <v>3</v>
      </c>
      <c r="I10" s="1"/>
    </row>
    <row r="11" spans="1:9" x14ac:dyDescent="0.25">
      <c r="A11" s="1"/>
      <c r="B11" s="155" t="s">
        <v>277</v>
      </c>
      <c r="C11" s="156"/>
      <c r="D11" s="156"/>
      <c r="E11" s="156"/>
      <c r="F11" s="157"/>
      <c r="G11" s="9">
        <v>0</v>
      </c>
      <c r="H11" s="9" t="s">
        <v>3</v>
      </c>
      <c r="I11" s="1"/>
    </row>
    <row r="12" spans="1:9" x14ac:dyDescent="0.25">
      <c r="A12" s="1"/>
      <c r="B12" s="155" t="s">
        <v>278</v>
      </c>
      <c r="C12" s="156"/>
      <c r="D12" s="156"/>
      <c r="E12" s="156"/>
      <c r="F12" s="157"/>
      <c r="G12" s="9">
        <v>0</v>
      </c>
      <c r="H12" s="9" t="s">
        <v>3</v>
      </c>
      <c r="I12" s="1"/>
    </row>
    <row r="13" spans="1:9" x14ac:dyDescent="0.25">
      <c r="A13" s="1"/>
      <c r="B13" s="155" t="s">
        <v>279</v>
      </c>
      <c r="C13" s="156"/>
      <c r="D13" s="156"/>
      <c r="E13" s="156"/>
      <c r="F13" s="157"/>
      <c r="G13" s="9">
        <v>0</v>
      </c>
      <c r="H13" s="9" t="s">
        <v>3</v>
      </c>
      <c r="I13" s="1"/>
    </row>
    <row r="14" spans="1:9" x14ac:dyDescent="0.25">
      <c r="A14" s="1"/>
      <c r="B14" s="155" t="s">
        <v>280</v>
      </c>
      <c r="C14" s="156"/>
      <c r="D14" s="156"/>
      <c r="E14" s="156"/>
      <c r="F14" s="157"/>
      <c r="G14" s="9">
        <v>0</v>
      </c>
      <c r="H14" s="9" t="s">
        <v>3</v>
      </c>
      <c r="I14" s="1"/>
    </row>
    <row r="15" spans="1:9" x14ac:dyDescent="0.25">
      <c r="A15" s="1"/>
      <c r="B15" s="155" t="s">
        <v>281</v>
      </c>
      <c r="C15" s="156"/>
      <c r="D15" s="156"/>
      <c r="E15" s="156"/>
      <c r="F15" s="157"/>
      <c r="G15" s="9">
        <v>0</v>
      </c>
      <c r="H15" s="9" t="s">
        <v>3</v>
      </c>
      <c r="I15" s="1"/>
    </row>
    <row r="16" spans="1:9" x14ac:dyDescent="0.25">
      <c r="A16" s="1"/>
      <c r="B16" s="155" t="s">
        <v>282</v>
      </c>
      <c r="C16" s="156"/>
      <c r="D16" s="156"/>
      <c r="E16" s="156"/>
      <c r="F16" s="157"/>
      <c r="G16" s="9">
        <v>0</v>
      </c>
      <c r="H16" s="9" t="s">
        <v>3</v>
      </c>
      <c r="I16" s="1"/>
    </row>
    <row r="17" spans="1:9" x14ac:dyDescent="0.25">
      <c r="A17" s="1"/>
      <c r="B17" s="155" t="s">
        <v>283</v>
      </c>
      <c r="C17" s="156"/>
      <c r="D17" s="156"/>
      <c r="E17" s="156"/>
      <c r="F17" s="157"/>
      <c r="G17" s="9">
        <v>0</v>
      </c>
      <c r="H17" s="9" t="s">
        <v>3</v>
      </c>
      <c r="I17" s="1"/>
    </row>
    <row r="18" spans="1:9" x14ac:dyDescent="0.25">
      <c r="A18" s="1"/>
      <c r="B18" s="128" t="s">
        <v>254</v>
      </c>
      <c r="C18" s="129"/>
      <c r="D18" s="129"/>
      <c r="E18" s="129"/>
      <c r="F18" s="13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VHTcyispvj5wxTDXzd+zWkQ9S+t7Uthvx3F8U5bhqaBXNxAicwOfHVOzGlmm6+WCoP7H0S6lUwqkAUGZlIP7dg==" saltValue="bA2rVQue6O88QklobYX7XA=="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256</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8" t="s">
        <v>209</v>
      </c>
      <c r="C9" s="129"/>
      <c r="D9" s="129"/>
      <c r="E9" s="129"/>
      <c r="F9" s="130"/>
      <c r="G9" s="1"/>
    </row>
    <row r="10" spans="1:7" x14ac:dyDescent="0.25">
      <c r="A10" s="1"/>
      <c r="B10" s="118" t="s">
        <v>100</v>
      </c>
      <c r="C10" s="119"/>
      <c r="D10" s="120"/>
      <c r="E10" s="7">
        <v>0</v>
      </c>
      <c r="F10" s="8" t="s">
        <v>3</v>
      </c>
      <c r="G10" s="1"/>
    </row>
    <row r="11" spans="1:7" x14ac:dyDescent="0.25">
      <c r="A11" s="1"/>
      <c r="B11" s="133" t="s">
        <v>210</v>
      </c>
      <c r="C11" s="134"/>
      <c r="D11" s="135"/>
      <c r="E11" s="7">
        <v>0</v>
      </c>
      <c r="F11" s="8" t="s">
        <v>3</v>
      </c>
      <c r="G11" s="1"/>
    </row>
    <row r="12" spans="1:7" x14ac:dyDescent="0.25">
      <c r="A12" s="1"/>
      <c r="B12" s="131" t="s">
        <v>101</v>
      </c>
      <c r="C12" s="132"/>
      <c r="D12" s="154"/>
      <c r="E12" s="10">
        <f>E11-E10</f>
        <v>0</v>
      </c>
      <c r="F12" s="11" t="s">
        <v>3</v>
      </c>
      <c r="G12" s="1"/>
    </row>
    <row r="13" spans="1:7" x14ac:dyDescent="0.25">
      <c r="A13" s="1"/>
      <c r="B13" s="128" t="s">
        <v>94</v>
      </c>
      <c r="C13" s="129"/>
      <c r="D13" s="129"/>
      <c r="E13" s="129"/>
      <c r="F13" s="130"/>
      <c r="G13" s="1"/>
    </row>
    <row r="14" spans="1:7" x14ac:dyDescent="0.25">
      <c r="A14" s="1"/>
      <c r="B14" s="133" t="s">
        <v>211</v>
      </c>
      <c r="C14" s="134"/>
      <c r="D14" s="135"/>
      <c r="E14" s="9">
        <v>0</v>
      </c>
      <c r="F14" s="8" t="s">
        <v>3</v>
      </c>
      <c r="G14" s="1"/>
    </row>
    <row r="15" spans="1:7" x14ac:dyDescent="0.25">
      <c r="A15" s="1"/>
      <c r="B15" s="118" t="s">
        <v>212</v>
      </c>
      <c r="C15" s="119"/>
      <c r="D15" s="120"/>
      <c r="E15" s="9">
        <v>0</v>
      </c>
      <c r="F15" s="8" t="s">
        <v>3</v>
      </c>
      <c r="G15" s="1"/>
    </row>
    <row r="16" spans="1:7" x14ac:dyDescent="0.25">
      <c r="A16" s="1"/>
      <c r="B16" s="131" t="s">
        <v>101</v>
      </c>
      <c r="C16" s="132"/>
      <c r="D16" s="154"/>
      <c r="E16" s="10">
        <f>E15-E14</f>
        <v>0</v>
      </c>
      <c r="F16" s="11" t="s">
        <v>3</v>
      </c>
      <c r="G16" s="1"/>
    </row>
    <row r="17" spans="1:7" x14ac:dyDescent="0.25">
      <c r="A17" s="1"/>
      <c r="B17" s="32" t="s">
        <v>213</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9PCcMWdprziA8OLa+SXL+YLk8ZwebnuhwXBU40o6eIhFbS+DIZOdBpVzIHKKyhcElItgtBdp3LfKIR1koT7Kw==" saltValue="Rlg33yzB+UiJPhboXd+Az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257</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8" t="s">
        <v>221</v>
      </c>
      <c r="C8" s="129"/>
      <c r="D8" s="129"/>
      <c r="E8" s="129"/>
      <c r="F8" s="129"/>
      <c r="G8" s="129"/>
      <c r="H8" s="129"/>
      <c r="I8" s="129"/>
      <c r="J8" s="129"/>
      <c r="K8" s="130"/>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4" t="s">
        <v>275</v>
      </c>
      <c r="C10" s="41">
        <v>0</v>
      </c>
      <c r="D10" s="9">
        <v>0</v>
      </c>
      <c r="E10" s="14" t="s">
        <v>3</v>
      </c>
      <c r="F10" s="9">
        <f>IFERROR(D10/C10,0)</f>
        <v>0</v>
      </c>
      <c r="G10" s="14" t="s">
        <v>3</v>
      </c>
      <c r="H10" s="44">
        <v>0</v>
      </c>
      <c r="I10" s="14" t="s">
        <v>3</v>
      </c>
      <c r="J10" s="44">
        <v>0</v>
      </c>
      <c r="K10" s="14" t="s">
        <v>3</v>
      </c>
      <c r="L10" s="1"/>
    </row>
    <row r="11" spans="1:12" x14ac:dyDescent="0.25">
      <c r="A11" s="1"/>
      <c r="B11" s="83" t="s">
        <v>222</v>
      </c>
      <c r="C11" s="84"/>
      <c r="D11" s="85"/>
      <c r="E11" s="85"/>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LYpyL+xEbg/kFbv1LA2i19AJI56s9s33Z0AhIVAC39IylebObzXZJXtFO79uek6zGOnMH//SDnOzm4UtX24IrA==" saltValue="/tdN1y0HAGFljrEdMnrxW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2"/>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258</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1" t="s">
        <v>17</v>
      </c>
      <c r="C9" s="81" t="s">
        <v>11</v>
      </c>
      <c r="D9" s="82"/>
      <c r="E9" s="81" t="s">
        <v>31</v>
      </c>
      <c r="F9" s="31"/>
      <c r="G9" s="1"/>
    </row>
    <row r="10" spans="1:7" x14ac:dyDescent="0.25">
      <c r="A10" s="1"/>
      <c r="B10" s="23" t="s">
        <v>228</v>
      </c>
      <c r="C10" s="21">
        <f>'Fane 10. Anlægsprojekter (§ 19)'!H11</f>
        <v>0</v>
      </c>
      <c r="D10" s="14" t="s">
        <v>3</v>
      </c>
      <c r="E10" s="9">
        <f>SUM('Fane 10. Anlægsprojekter (§ 19)'!F11,'Fane 10. Anlægsprojekter (§ 19)'!J11)</f>
        <v>0</v>
      </c>
      <c r="F10" s="14" t="s">
        <v>3</v>
      </c>
      <c r="G10" s="1"/>
    </row>
    <row r="11" spans="1:7" x14ac:dyDescent="0.25">
      <c r="A11" s="1"/>
      <c r="B11" s="32" t="s">
        <v>156</v>
      </c>
      <c r="C11" s="12">
        <f>SUM(C10:C10)</f>
        <v>0</v>
      </c>
      <c r="D11" s="13" t="s">
        <v>3</v>
      </c>
      <c r="E11" s="12">
        <f>SUM(E10:E10)</f>
        <v>0</v>
      </c>
      <c r="F11" s="13" t="s">
        <v>3</v>
      </c>
      <c r="G11" s="1"/>
    </row>
    <row r="12" spans="1:7" x14ac:dyDescent="0.25">
      <c r="A12" s="1"/>
      <c r="B12" s="32" t="s">
        <v>214</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sheetData>
  <sheetProtection algorithmName="SHA-512" hashValue="8hQJ2v5nsJE2zckEVs0R0euLgfkEa897k3hbOVeF2IzsE7NDVlkf53WhHpK/E/wAL+7jWknha9KO2AaBI9rK4A==" saltValue="IWIzxka5dgVVBxb1nXFkb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259</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97</v>
      </c>
      <c r="C8" s="129"/>
      <c r="D8" s="129"/>
      <c r="E8" s="129"/>
      <c r="F8" s="130"/>
      <c r="G8" s="1"/>
    </row>
    <row r="9" spans="1:7" x14ac:dyDescent="0.25">
      <c r="A9" s="1"/>
      <c r="B9" s="81" t="s">
        <v>17</v>
      </c>
      <c r="C9" s="81" t="s">
        <v>11</v>
      </c>
      <c r="D9" s="82"/>
      <c r="E9" s="81" t="s">
        <v>31</v>
      </c>
      <c r="F9" s="31"/>
      <c r="G9" s="1"/>
    </row>
    <row r="10" spans="1:7" x14ac:dyDescent="0.25">
      <c r="A10" s="1"/>
      <c r="B10" s="23" t="s">
        <v>288</v>
      </c>
      <c r="C10" s="21">
        <v>0</v>
      </c>
      <c r="D10" s="14" t="s">
        <v>3</v>
      </c>
      <c r="E10" s="9">
        <v>0</v>
      </c>
      <c r="F10" s="14" t="s">
        <v>3</v>
      </c>
      <c r="G10" s="1"/>
    </row>
    <row r="11" spans="1:7" x14ac:dyDescent="0.25">
      <c r="A11" s="1"/>
      <c r="B11" s="32" t="s">
        <v>234</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57"/>
      <c r="C15" s="57"/>
      <c r="D15" s="57"/>
      <c r="E15" s="57"/>
      <c r="F15" s="58"/>
      <c r="G15" s="1"/>
    </row>
    <row r="16" spans="1:7" x14ac:dyDescent="0.25">
      <c r="A16" s="1"/>
      <c r="B16" s="59"/>
      <c r="C16" s="60"/>
      <c r="D16" s="61"/>
      <c r="E16" s="62"/>
      <c r="F16" s="61"/>
      <c r="G16" s="1"/>
    </row>
    <row r="17" spans="1:7" x14ac:dyDescent="0.25">
      <c r="A17" s="1"/>
      <c r="B17" s="59"/>
      <c r="C17" s="60"/>
      <c r="D17" s="61"/>
      <c r="E17" s="62"/>
      <c r="F17" s="61"/>
      <c r="G17" s="1"/>
    </row>
    <row r="18" spans="1:7" x14ac:dyDescent="0.25">
      <c r="A18" s="1"/>
      <c r="B18" s="63"/>
      <c r="C18" s="64"/>
      <c r="D18" s="65"/>
      <c r="E18" s="64"/>
      <c r="F18" s="65"/>
      <c r="G18" s="1"/>
    </row>
    <row r="19" spans="1:7" x14ac:dyDescent="0.25">
      <c r="A19" s="1"/>
      <c r="B19" s="63"/>
      <c r="C19" s="64"/>
      <c r="D19" s="65"/>
      <c r="E19" s="64"/>
      <c r="F19" s="65"/>
      <c r="G19" s="1"/>
    </row>
    <row r="20" spans="1:7" x14ac:dyDescent="0.25">
      <c r="A20" s="1"/>
      <c r="B20" s="56"/>
      <c r="C20" s="56"/>
      <c r="D20" s="56"/>
      <c r="E20" s="56"/>
      <c r="F20" s="56"/>
      <c r="G20" s="1"/>
    </row>
    <row r="21" spans="1:7" x14ac:dyDescent="0.25">
      <c r="A21" s="1"/>
      <c r="B21" s="160"/>
      <c r="C21" s="160"/>
      <c r="D21" s="160"/>
      <c r="E21" s="160"/>
      <c r="F21" s="160"/>
      <c r="G21" s="1"/>
    </row>
    <row r="22" spans="1:7" x14ac:dyDescent="0.25">
      <c r="A22" s="1"/>
      <c r="B22" s="57"/>
      <c r="C22" s="57"/>
      <c r="D22" s="57"/>
      <c r="E22" s="57"/>
      <c r="F22" s="58"/>
      <c r="G22" s="1"/>
    </row>
    <row r="23" spans="1:7" x14ac:dyDescent="0.25">
      <c r="A23" s="1"/>
      <c r="B23" s="59"/>
      <c r="C23" s="60"/>
      <c r="D23" s="61"/>
      <c r="E23" s="62"/>
      <c r="F23" s="61"/>
      <c r="G23" s="1"/>
    </row>
    <row r="24" spans="1:7" x14ac:dyDescent="0.25">
      <c r="A24" s="1"/>
      <c r="B24" s="59"/>
      <c r="C24" s="60"/>
      <c r="D24" s="61"/>
      <c r="E24" s="62"/>
      <c r="F24" s="61"/>
      <c r="G24" s="1"/>
    </row>
    <row r="25" spans="1:7" x14ac:dyDescent="0.25">
      <c r="A25" s="1"/>
      <c r="B25" s="63"/>
      <c r="C25" s="64"/>
      <c r="D25" s="65"/>
      <c r="E25" s="64"/>
      <c r="F25" s="65"/>
      <c r="G25" s="1"/>
    </row>
    <row r="26" spans="1:7" x14ac:dyDescent="0.25">
      <c r="A26" s="1"/>
      <c r="B26" s="63"/>
      <c r="C26" s="64"/>
      <c r="D26" s="65"/>
      <c r="E26" s="64"/>
      <c r="F26" s="65"/>
      <c r="G26" s="1"/>
    </row>
    <row r="27" spans="1:7" x14ac:dyDescent="0.25">
      <c r="A27" s="1"/>
      <c r="B27" s="56"/>
      <c r="C27" s="56"/>
      <c r="D27" s="56"/>
      <c r="E27" s="56"/>
      <c r="F27" s="56"/>
      <c r="G27" s="1"/>
    </row>
    <row r="28" spans="1:7" x14ac:dyDescent="0.25">
      <c r="A28" s="1"/>
      <c r="B28" s="160"/>
      <c r="C28" s="160"/>
      <c r="D28" s="160"/>
      <c r="E28" s="160"/>
      <c r="F28" s="160"/>
      <c r="G28" s="1"/>
    </row>
    <row r="29" spans="1:7" x14ac:dyDescent="0.25">
      <c r="A29" s="1"/>
      <c r="B29" s="57"/>
      <c r="C29" s="57"/>
      <c r="D29" s="57"/>
      <c r="E29" s="57"/>
      <c r="F29" s="58"/>
      <c r="G29" s="1"/>
    </row>
    <row r="30" spans="1:7" x14ac:dyDescent="0.25">
      <c r="A30" s="1"/>
      <c r="B30" s="59"/>
      <c r="C30" s="60"/>
      <c r="D30" s="61"/>
      <c r="E30" s="62"/>
      <c r="F30" s="61"/>
      <c r="G30" s="1"/>
    </row>
    <row r="31" spans="1:7" x14ac:dyDescent="0.25">
      <c r="A31" s="1"/>
      <c r="B31" s="59"/>
      <c r="C31" s="60"/>
      <c r="D31" s="61"/>
      <c r="E31" s="62"/>
      <c r="F31" s="61"/>
      <c r="G31" s="1"/>
    </row>
    <row r="32" spans="1:7" x14ac:dyDescent="0.25">
      <c r="A32" s="1"/>
      <c r="B32" s="63"/>
      <c r="C32" s="64"/>
      <c r="D32" s="65"/>
      <c r="E32" s="64"/>
      <c r="F32" s="65"/>
      <c r="G32" s="1"/>
    </row>
    <row r="33" spans="1:7" x14ac:dyDescent="0.25">
      <c r="A33" s="1"/>
      <c r="B33" s="63"/>
      <c r="C33" s="64"/>
      <c r="D33" s="65"/>
      <c r="E33" s="64"/>
      <c r="F33" s="65"/>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QhMJXKKUnUQdbDjYk5qIZO+Md6p2rQuAPlAfKtQWohgy9txZ4uKBrOpHghduFws5pRVo3IRw927GqHRzwFw/jQ==" saltValue="pr2C0sVHXa/HGjl777HrS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260</v>
      </c>
      <c r="C3" s="121"/>
      <c r="D3" s="121"/>
      <c r="E3" s="121"/>
      <c r="F3" s="121"/>
      <c r="G3" s="1"/>
    </row>
    <row r="4" spans="1:7" ht="15" customHeight="1" x14ac:dyDescent="0.25">
      <c r="A4" s="1"/>
      <c r="B4" s="121"/>
      <c r="C4" s="121"/>
      <c r="D4" s="121"/>
      <c r="E4" s="121"/>
      <c r="F4" s="121"/>
      <c r="G4" s="1"/>
    </row>
    <row r="5" spans="1:7" x14ac:dyDescent="0.25">
      <c r="A5" s="1"/>
      <c r="B5" s="121"/>
      <c r="C5" s="121"/>
      <c r="D5" s="121"/>
      <c r="E5" s="121"/>
      <c r="F5" s="12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8" t="s">
        <v>91</v>
      </c>
      <c r="C9" s="129"/>
      <c r="D9" s="129"/>
      <c r="E9" s="129"/>
      <c r="F9" s="130"/>
      <c r="G9" s="1"/>
    </row>
    <row r="10" spans="1:7" x14ac:dyDescent="0.25">
      <c r="A10" s="1"/>
      <c r="B10" s="155" t="s">
        <v>226</v>
      </c>
      <c r="C10" s="156"/>
      <c r="D10" s="157"/>
      <c r="E10" s="9">
        <v>0</v>
      </c>
      <c r="F10" s="14" t="s">
        <v>3</v>
      </c>
      <c r="G10" s="1"/>
    </row>
    <row r="11" spans="1:7" x14ac:dyDescent="0.25">
      <c r="A11" s="1"/>
      <c r="B11" s="122" t="s">
        <v>10</v>
      </c>
      <c r="C11" s="123"/>
      <c r="D11" s="124"/>
      <c r="E11" s="9">
        <f>-E10*'Fane 5. Individuelt eff. krav'!G9</f>
        <v>0</v>
      </c>
      <c r="F11" s="14" t="s">
        <v>3</v>
      </c>
      <c r="G11" s="1"/>
    </row>
    <row r="12" spans="1:7" x14ac:dyDescent="0.25">
      <c r="A12" s="1"/>
      <c r="B12" s="122" t="s">
        <v>24</v>
      </c>
      <c r="C12" s="123"/>
      <c r="D12" s="124"/>
      <c r="E12" s="9">
        <f>-E10*'Fane 15. Nøgletal'!C31</f>
        <v>0</v>
      </c>
      <c r="F12" s="14" t="s">
        <v>3</v>
      </c>
      <c r="G12" s="1"/>
    </row>
    <row r="13" spans="1:7" x14ac:dyDescent="0.25">
      <c r="A13" s="1"/>
      <c r="B13" s="128" t="s">
        <v>92</v>
      </c>
      <c r="C13" s="129"/>
      <c r="D13" s="130"/>
      <c r="E13" s="12">
        <f>SUM(E10:E12)*(1+'Fane 15. Nøgletal'!C15)^2</f>
        <v>0</v>
      </c>
      <c r="F13" s="13" t="s">
        <v>3</v>
      </c>
      <c r="G13" s="1"/>
    </row>
    <row r="14" spans="1:7" x14ac:dyDescent="0.25">
      <c r="A14" s="1"/>
      <c r="B14" s="1"/>
      <c r="C14" s="1"/>
      <c r="D14" s="1"/>
      <c r="E14" s="1"/>
      <c r="F14" s="1"/>
      <c r="G14" s="1"/>
    </row>
    <row r="15" spans="1:7" ht="15" customHeight="1" x14ac:dyDescent="0.25">
      <c r="A15" s="1"/>
      <c r="B15" s="128" t="s">
        <v>130</v>
      </c>
      <c r="C15" s="129"/>
      <c r="D15" s="129"/>
      <c r="E15" s="129"/>
      <c r="F15" s="130"/>
      <c r="G15" s="1"/>
    </row>
    <row r="16" spans="1:7" x14ac:dyDescent="0.25">
      <c r="A16" s="1"/>
      <c r="B16" s="155" t="s">
        <v>226</v>
      </c>
      <c r="C16" s="156"/>
      <c r="D16" s="157"/>
      <c r="E16" s="9">
        <v>0</v>
      </c>
      <c r="F16" s="14" t="s">
        <v>3</v>
      </c>
      <c r="G16" s="1"/>
    </row>
    <row r="17" spans="1:7" x14ac:dyDescent="0.25">
      <c r="A17" s="1"/>
      <c r="B17" s="122" t="s">
        <v>10</v>
      </c>
      <c r="C17" s="123"/>
      <c r="D17" s="124"/>
      <c r="E17" s="9">
        <f>-E16*'Fane 5. Individuelt eff. krav'!G9</f>
        <v>0</v>
      </c>
      <c r="F17" s="14" t="s">
        <v>3</v>
      </c>
      <c r="G17" s="1"/>
    </row>
    <row r="18" spans="1:7" x14ac:dyDescent="0.25">
      <c r="A18" s="1"/>
      <c r="B18" s="122" t="s">
        <v>24</v>
      </c>
      <c r="C18" s="123"/>
      <c r="D18" s="124"/>
      <c r="E18" s="9">
        <f>-E16*'Fane 15. Nøgletal'!C31</f>
        <v>0</v>
      </c>
      <c r="F18" s="14" t="s">
        <v>3</v>
      </c>
      <c r="G18" s="1"/>
    </row>
    <row r="19" spans="1:7" x14ac:dyDescent="0.25">
      <c r="A19" s="1"/>
      <c r="B19" s="128" t="s">
        <v>131</v>
      </c>
      <c r="C19" s="129"/>
      <c r="D19" s="130"/>
      <c r="E19" s="12">
        <f>SUM(E16:E18)*(1+'Fane 15. Nøgletal'!C15)^3</f>
        <v>0</v>
      </c>
      <c r="F19" s="13" t="s">
        <v>3</v>
      </c>
      <c r="G19" s="1"/>
    </row>
    <row r="20" spans="1:7" x14ac:dyDescent="0.25">
      <c r="A20" s="1"/>
      <c r="B20" s="1"/>
      <c r="C20" s="1"/>
      <c r="D20" s="1"/>
      <c r="E20" s="1"/>
      <c r="F20" s="1"/>
      <c r="G20" s="1"/>
    </row>
    <row r="21" spans="1:7" ht="15" customHeight="1" x14ac:dyDescent="0.25">
      <c r="A21" s="1"/>
      <c r="B21" s="128" t="s">
        <v>157</v>
      </c>
      <c r="C21" s="129"/>
      <c r="D21" s="129"/>
      <c r="E21" s="129"/>
      <c r="F21" s="130"/>
      <c r="G21" s="1"/>
    </row>
    <row r="22" spans="1:7" x14ac:dyDescent="0.25">
      <c r="A22" s="1"/>
      <c r="B22" s="155" t="s">
        <v>226</v>
      </c>
      <c r="C22" s="156"/>
      <c r="D22" s="157"/>
      <c r="E22" s="9">
        <v>0</v>
      </c>
      <c r="F22" s="14" t="s">
        <v>3</v>
      </c>
      <c r="G22" s="1"/>
    </row>
    <row r="23" spans="1:7" x14ac:dyDescent="0.25">
      <c r="A23" s="1"/>
      <c r="B23" s="122" t="s">
        <v>10</v>
      </c>
      <c r="C23" s="123"/>
      <c r="D23" s="124"/>
      <c r="E23" s="9">
        <f>-E22*'Fane 5. Individuelt eff. krav'!G9</f>
        <v>0</v>
      </c>
      <c r="F23" s="14" t="s">
        <v>3</v>
      </c>
      <c r="G23" s="1"/>
    </row>
    <row r="24" spans="1:7" x14ac:dyDescent="0.25">
      <c r="A24" s="1"/>
      <c r="B24" s="122" t="s">
        <v>24</v>
      </c>
      <c r="C24" s="123"/>
      <c r="D24" s="124"/>
      <c r="E24" s="9">
        <f>-E22*'Fane 15. Nøgletal'!C31</f>
        <v>0</v>
      </c>
      <c r="F24" s="14" t="s">
        <v>3</v>
      </c>
      <c r="G24" s="1"/>
    </row>
    <row r="25" spans="1:7" x14ac:dyDescent="0.25">
      <c r="A25" s="1"/>
      <c r="B25" s="128" t="s">
        <v>158</v>
      </c>
      <c r="C25" s="129"/>
      <c r="D25" s="130"/>
      <c r="E25" s="12">
        <f>SUM(E22:E24)*(1+'Fane 15. Nøgletal'!C15)^4</f>
        <v>0</v>
      </c>
      <c r="F25" s="13" t="s">
        <v>3</v>
      </c>
      <c r="G25" s="1"/>
    </row>
    <row r="26" spans="1:7" x14ac:dyDescent="0.25">
      <c r="A26" s="1"/>
      <c r="B26" s="1"/>
      <c r="C26" s="1"/>
      <c r="D26" s="1"/>
      <c r="E26" s="1"/>
      <c r="F26" s="1"/>
      <c r="G26" s="1"/>
    </row>
    <row r="27" spans="1:7" ht="15" customHeight="1" x14ac:dyDescent="0.25">
      <c r="A27" s="1"/>
      <c r="B27" s="128" t="s">
        <v>215</v>
      </c>
      <c r="C27" s="129"/>
      <c r="D27" s="129"/>
      <c r="E27" s="129"/>
      <c r="F27" s="130"/>
      <c r="G27" s="1"/>
    </row>
    <row r="28" spans="1:7" ht="14.25" customHeight="1" x14ac:dyDescent="0.25">
      <c r="A28" s="1"/>
      <c r="B28" s="155" t="s">
        <v>226</v>
      </c>
      <c r="C28" s="156"/>
      <c r="D28" s="157"/>
      <c r="E28" s="9">
        <v>0</v>
      </c>
      <c r="F28" s="14" t="s">
        <v>3</v>
      </c>
      <c r="G28" s="1"/>
    </row>
    <row r="29" spans="1:7" x14ac:dyDescent="0.25">
      <c r="A29" s="1"/>
      <c r="B29" s="122" t="s">
        <v>10</v>
      </c>
      <c r="C29" s="123"/>
      <c r="D29" s="124"/>
      <c r="E29" s="9">
        <f>-E28*'Fane 5. Individuelt eff. krav'!G9</f>
        <v>0</v>
      </c>
      <c r="F29" s="14" t="s">
        <v>3</v>
      </c>
      <c r="G29" s="1"/>
    </row>
    <row r="30" spans="1:7" x14ac:dyDescent="0.25">
      <c r="A30" s="1"/>
      <c r="B30" s="122" t="s">
        <v>24</v>
      </c>
      <c r="C30" s="123"/>
      <c r="D30" s="124"/>
      <c r="E30" s="9">
        <f>-E28*'Fane 15. Nøgletal'!C31</f>
        <v>0</v>
      </c>
      <c r="F30" s="14" t="s">
        <v>3</v>
      </c>
      <c r="G30" s="1"/>
    </row>
    <row r="31" spans="1:7" x14ac:dyDescent="0.25">
      <c r="A31" s="1"/>
      <c r="B31" s="128" t="s">
        <v>216</v>
      </c>
      <c r="C31" s="129"/>
      <c r="D31" s="130"/>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Eqjscpo+D+Y2YpfNHNg9f4Lo357+a1EomozIm9QZbR9j62h2JlHJ7uZizw+HtK/BCF5Bys+52aSQ23DUj4RKA==" saltValue="Dxl4niqK0JsfXkVxzjwE9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5"/>
  <sheetViews>
    <sheetView showGridLines="0" tabSelected="1" view="pageLayout" zoomScaleNormal="100" workbookViewId="0">
      <selection activeCell="C13" sqref="C13"/>
    </sheetView>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261</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132</v>
      </c>
      <c r="C8" s="129"/>
      <c r="D8" s="129"/>
      <c r="E8" s="129"/>
      <c r="F8" s="130"/>
      <c r="G8" s="1"/>
    </row>
    <row r="9" spans="1:7" ht="15" customHeight="1" x14ac:dyDescent="0.25">
      <c r="A9" s="1"/>
      <c r="B9" s="30" t="s">
        <v>133</v>
      </c>
      <c r="C9" s="30" t="s">
        <v>11</v>
      </c>
      <c r="D9" s="31"/>
      <c r="E9" s="30" t="s">
        <v>31</v>
      </c>
      <c r="F9" s="31"/>
      <c r="G9" s="1"/>
    </row>
    <row r="10" spans="1:7" ht="26.25" x14ac:dyDescent="0.25">
      <c r="A10" s="1"/>
      <c r="B10" s="161"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iJLbWMhTG6W2lscigeI4f51DqEkO5WLiQiXF2iK3oRj9TbDvnaWkKBHkNV1aXrr+hKYFphJCA8RYlg9OKylvVQ==" saltValue="CHk/VcLrFy3ceQeCIkagD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262</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8" t="s">
        <v>93</v>
      </c>
      <c r="C9" s="129"/>
      <c r="D9" s="129"/>
      <c r="E9" s="129"/>
      <c r="F9" s="130"/>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236</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58"/>
      <c r="C16" s="58"/>
      <c r="D16" s="58"/>
      <c r="E16" s="58"/>
      <c r="F16" s="58"/>
      <c r="G16" s="1"/>
    </row>
    <row r="17" spans="1:7" x14ac:dyDescent="0.25">
      <c r="A17" s="1"/>
      <c r="B17" s="59"/>
      <c r="C17" s="62"/>
      <c r="D17" s="61"/>
      <c r="E17" s="62"/>
      <c r="F17" s="61"/>
      <c r="G17" s="1"/>
    </row>
    <row r="18" spans="1:7" x14ac:dyDescent="0.25">
      <c r="A18" s="1"/>
      <c r="B18" s="63"/>
      <c r="C18" s="64"/>
      <c r="D18" s="65"/>
      <c r="E18" s="64"/>
      <c r="F18" s="65"/>
      <c r="G18" s="1"/>
    </row>
    <row r="19" spans="1:7" x14ac:dyDescent="0.25">
      <c r="A19" s="1"/>
      <c r="B19" s="63"/>
      <c r="C19" s="64"/>
      <c r="D19" s="65"/>
      <c r="E19" s="64"/>
      <c r="F19" s="65"/>
      <c r="G19" s="1"/>
    </row>
    <row r="20" spans="1:7" x14ac:dyDescent="0.25">
      <c r="A20" s="1"/>
      <c r="B20" s="56"/>
      <c r="C20" s="56"/>
      <c r="D20" s="56"/>
      <c r="E20" s="56"/>
      <c r="F20" s="56"/>
      <c r="G20" s="1"/>
    </row>
    <row r="21" spans="1:7" x14ac:dyDescent="0.25">
      <c r="A21" s="1"/>
      <c r="B21" s="160"/>
      <c r="C21" s="160"/>
      <c r="D21" s="160"/>
      <c r="E21" s="160"/>
      <c r="F21" s="160"/>
      <c r="G21" s="1"/>
    </row>
    <row r="22" spans="1:7" x14ac:dyDescent="0.25">
      <c r="A22" s="1"/>
      <c r="B22" s="58"/>
      <c r="C22" s="58"/>
      <c r="D22" s="58"/>
      <c r="E22" s="58"/>
      <c r="F22" s="58"/>
      <c r="G22" s="1"/>
    </row>
    <row r="23" spans="1:7" x14ac:dyDescent="0.25">
      <c r="A23" s="1"/>
      <c r="B23" s="59"/>
      <c r="C23" s="62"/>
      <c r="D23" s="61"/>
      <c r="E23" s="62"/>
      <c r="F23" s="61"/>
      <c r="G23" s="1"/>
    </row>
    <row r="24" spans="1:7" x14ac:dyDescent="0.25">
      <c r="A24" s="1"/>
      <c r="B24" s="63"/>
      <c r="C24" s="64"/>
      <c r="D24" s="65"/>
      <c r="E24" s="64"/>
      <c r="F24" s="65"/>
      <c r="G24" s="1"/>
    </row>
    <row r="25" spans="1:7" x14ac:dyDescent="0.25">
      <c r="A25" s="1"/>
      <c r="B25" s="63"/>
      <c r="C25" s="64"/>
      <c r="D25" s="65"/>
      <c r="E25" s="64"/>
      <c r="F25" s="65"/>
      <c r="G25" s="1"/>
    </row>
    <row r="26" spans="1:7" x14ac:dyDescent="0.25">
      <c r="A26" s="1"/>
      <c r="B26" s="56"/>
      <c r="C26" s="56"/>
      <c r="D26" s="56"/>
      <c r="E26" s="56"/>
      <c r="F26" s="56"/>
      <c r="G26" s="1"/>
    </row>
    <row r="27" spans="1:7" x14ac:dyDescent="0.25">
      <c r="A27" s="1"/>
      <c r="B27" s="160"/>
      <c r="C27" s="160"/>
      <c r="D27" s="160"/>
      <c r="E27" s="160"/>
      <c r="F27" s="160"/>
      <c r="G27" s="1"/>
    </row>
    <row r="28" spans="1:7" x14ac:dyDescent="0.25">
      <c r="A28" s="1"/>
      <c r="B28" s="58"/>
      <c r="C28" s="58"/>
      <c r="D28" s="58"/>
      <c r="E28" s="58"/>
      <c r="F28" s="58"/>
      <c r="G28" s="1"/>
    </row>
    <row r="29" spans="1:7" x14ac:dyDescent="0.25">
      <c r="A29" s="1"/>
      <c r="B29" s="59"/>
      <c r="C29" s="62"/>
      <c r="D29" s="61"/>
      <c r="E29" s="62"/>
      <c r="F29" s="61"/>
      <c r="G29" s="1"/>
    </row>
    <row r="30" spans="1:7" x14ac:dyDescent="0.25">
      <c r="A30" s="1"/>
      <c r="B30" s="63"/>
      <c r="C30" s="64"/>
      <c r="D30" s="65"/>
      <c r="E30" s="64"/>
      <c r="F30" s="65"/>
      <c r="G30" s="1"/>
    </row>
    <row r="31" spans="1:7" x14ac:dyDescent="0.25">
      <c r="A31" s="1"/>
      <c r="B31" s="63"/>
      <c r="C31" s="64"/>
      <c r="D31" s="65"/>
      <c r="E31" s="64"/>
      <c r="F31" s="6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LYDIEDRV6OrMH3h1bjiRMvmVcaf8fCyon9Yb60jnrxlttg0KbBUZZ3A9Xk3oYRb8nvTX2bv/tiw/84ZUtlC0hw==" saltValue="k+Vr99ykBxOSvbj/U9FYY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topLeftCell="A4" zoomScaleNormal="100" workbookViewId="0">
      <selection activeCell="B39" sqref="B39"/>
    </sheetView>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182</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76671306.82519646</v>
      </c>
      <c r="D9" s="8" t="s">
        <v>3</v>
      </c>
      <c r="E9" s="1"/>
    </row>
    <row r="10" spans="1:5" ht="17.25" customHeight="1" x14ac:dyDescent="0.25">
      <c r="A10" s="1"/>
      <c r="B10" s="80" t="s">
        <v>39</v>
      </c>
      <c r="C10" s="7">
        <f>'Fane 11.1. Varige tillæg'!C12</f>
        <v>0</v>
      </c>
      <c r="D10" s="8" t="s">
        <v>3</v>
      </c>
      <c r="E10" s="1"/>
    </row>
    <row r="11" spans="1:5" ht="17.25" customHeight="1" x14ac:dyDescent="0.25">
      <c r="A11" s="1"/>
      <c r="B11" s="80" t="s">
        <v>40</v>
      </c>
      <c r="C11" s="9">
        <f>'Fane 11.1. Varige tillæg'!E12</f>
        <v>0</v>
      </c>
      <c r="D11" s="8" t="s">
        <v>3</v>
      </c>
      <c r="E11" s="1"/>
    </row>
    <row r="12" spans="1:5" ht="17.25" customHeight="1" x14ac:dyDescent="0.25">
      <c r="A12" s="1"/>
      <c r="B12" s="80" t="s">
        <v>27</v>
      </c>
      <c r="C12" s="9">
        <f>-'Fane 14. Bortfald'!C13</f>
        <v>0</v>
      </c>
      <c r="D12" s="8" t="s">
        <v>3</v>
      </c>
      <c r="E12" s="1"/>
    </row>
    <row r="13" spans="1:5" ht="17.25" customHeight="1" x14ac:dyDescent="0.25">
      <c r="A13" s="1"/>
      <c r="B13" s="80" t="s">
        <v>26</v>
      </c>
      <c r="C13" s="9">
        <f>-'Fane 14. Bortfald'!E13</f>
        <v>0</v>
      </c>
      <c r="D13" s="8" t="s">
        <v>3</v>
      </c>
      <c r="E13" s="1"/>
    </row>
    <row r="14" spans="1:5" ht="17.25" customHeight="1" x14ac:dyDescent="0.25">
      <c r="A14" s="1"/>
      <c r="B14" s="80" t="s">
        <v>124</v>
      </c>
      <c r="C14" s="9">
        <f>'Fane 13. Tilknyttet virksomhed'!C12</f>
        <v>0</v>
      </c>
      <c r="D14" s="8" t="s">
        <v>3</v>
      </c>
      <c r="E14" s="1"/>
    </row>
    <row r="15" spans="1:5" ht="17.25" customHeight="1" x14ac:dyDescent="0.25">
      <c r="A15" s="1"/>
      <c r="B15" s="80" t="s">
        <v>125</v>
      </c>
      <c r="C15" s="9">
        <f>'Fane 13. Tilknyttet virksomhed'!E12</f>
        <v>0</v>
      </c>
      <c r="D15" s="8" t="s">
        <v>3</v>
      </c>
      <c r="E15" s="1"/>
    </row>
    <row r="16" spans="1:5" ht="17.25" customHeight="1" x14ac:dyDescent="0.25">
      <c r="A16" s="1"/>
      <c r="B16" s="80" t="s">
        <v>19</v>
      </c>
      <c r="C16" s="44">
        <f>SUM(C9)*'Fane 15. Nøgletal'!C14+SUM(C10:C15)*'Fane 15. Nøgletal'!C15</f>
        <v>253015.31252314831</v>
      </c>
      <c r="D16" s="8" t="s">
        <v>3</v>
      </c>
      <c r="E16" s="1"/>
    </row>
    <row r="17" spans="1:5" ht="17.25" customHeight="1" x14ac:dyDescent="0.25">
      <c r="A17" s="1"/>
      <c r="B17" s="80" t="s">
        <v>10</v>
      </c>
      <c r="C17" s="44">
        <f>-SUM(C9,C10:C16)*'Fane 5. Individuelt eff. krav'!G9</f>
        <v>-760365.11084441934</v>
      </c>
      <c r="D17" s="8" t="s">
        <v>3</v>
      </c>
      <c r="E17" s="1"/>
    </row>
    <row r="18" spans="1:5" ht="17.25" customHeight="1" x14ac:dyDescent="0.25">
      <c r="A18" s="1"/>
      <c r="B18" s="80" t="s">
        <v>24</v>
      </c>
      <c r="C18" s="44">
        <f>-'Fane 4.1. Gen. krav - drift'!G45</f>
        <v>-498376.11059621471</v>
      </c>
      <c r="D18" s="8" t="s">
        <v>3</v>
      </c>
      <c r="E18" s="1"/>
    </row>
    <row r="19" spans="1:5" ht="17.25" customHeight="1" x14ac:dyDescent="0.25">
      <c r="A19" s="1"/>
      <c r="B19" s="80" t="s">
        <v>25</v>
      </c>
      <c r="C19" s="44">
        <f>-'Fane 4.2. Gen. krav - anlæg'!G43</f>
        <v>-800388.70961199026</v>
      </c>
      <c r="D19" s="8" t="s">
        <v>3</v>
      </c>
      <c r="E19" s="48"/>
    </row>
    <row r="20" spans="1:5" ht="17.25" customHeight="1" x14ac:dyDescent="0.25">
      <c r="A20" s="1"/>
      <c r="B20" s="86" t="s">
        <v>21</v>
      </c>
      <c r="C20" s="10">
        <f>SUM(C9:C19)</f>
        <v>74865192.206666976</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4535512.0293674162</v>
      </c>
      <c r="D22" s="11" t="s">
        <v>3</v>
      </c>
      <c r="E22" s="1"/>
    </row>
    <row r="23" spans="1:5" ht="15" customHeight="1" x14ac:dyDescent="0.25">
      <c r="A23" s="1"/>
      <c r="B23" s="32" t="s">
        <v>86</v>
      </c>
      <c r="C23" s="27"/>
      <c r="D23" s="19"/>
      <c r="E23" s="1"/>
    </row>
    <row r="24" spans="1:5" ht="15" customHeight="1" x14ac:dyDescent="0.25">
      <c r="A24" s="1"/>
      <c r="B24" s="86"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0" t="s">
        <v>233</v>
      </c>
      <c r="C26" s="72">
        <f>'Fane 11.2. Engangstillæg'!C12</f>
        <v>0</v>
      </c>
      <c r="D26" s="8" t="s">
        <v>3</v>
      </c>
      <c r="E26" s="1"/>
    </row>
    <row r="27" spans="1:5" ht="15" customHeight="1" x14ac:dyDescent="0.25">
      <c r="A27" s="1"/>
      <c r="B27" s="80" t="s">
        <v>82</v>
      </c>
      <c r="C27" s="72">
        <f>'Fane 11.2. Engangstillæg'!E12</f>
        <v>0</v>
      </c>
      <c r="D27" s="8" t="s">
        <v>3</v>
      </c>
      <c r="E27" s="1"/>
    </row>
    <row r="28" spans="1:5" ht="15" customHeight="1" x14ac:dyDescent="0.25">
      <c r="A28" s="1"/>
      <c r="B28" s="80" t="s">
        <v>240</v>
      </c>
      <c r="C28" s="72">
        <f>-C26*('Fane 15. Nøgletal'!C31+'Fane 5. Individuelt eff. krav'!G9)</f>
        <v>0</v>
      </c>
      <c r="D28" s="8" t="s">
        <v>3</v>
      </c>
      <c r="E28" s="1"/>
    </row>
    <row r="29" spans="1:5" ht="15" customHeight="1" x14ac:dyDescent="0.25">
      <c r="A29" s="1"/>
      <c r="B29" s="80" t="s">
        <v>241</v>
      </c>
      <c r="C29" s="72">
        <f>-C27*('Fane 15. Nøgletal'!C26+'Fane 5. Individuelt eff. krav'!G9)</f>
        <v>0</v>
      </c>
      <c r="D29" s="8" t="s">
        <v>3</v>
      </c>
      <c r="E29" s="1"/>
    </row>
    <row r="30" spans="1:5" ht="15" customHeight="1" x14ac:dyDescent="0.25">
      <c r="A30" s="1"/>
      <c r="B30" s="92" t="s">
        <v>87</v>
      </c>
      <c r="C30" s="10">
        <f>SUM(C26:C29)</f>
        <v>0</v>
      </c>
      <c r="D30" s="11" t="s">
        <v>3</v>
      </c>
      <c r="E30" s="1"/>
    </row>
    <row r="31" spans="1:5" x14ac:dyDescent="0.25">
      <c r="A31" s="1"/>
      <c r="B31" s="32" t="s">
        <v>143</v>
      </c>
      <c r="C31" s="27"/>
      <c r="D31" s="19"/>
      <c r="E31" s="1"/>
    </row>
    <row r="32" spans="1:5" x14ac:dyDescent="0.25">
      <c r="A32" s="1"/>
      <c r="B32" s="30" t="s">
        <v>181</v>
      </c>
      <c r="C32" s="10">
        <f>'Fane 7. Kontrol af ØR2021'!E28</f>
        <v>0</v>
      </c>
      <c r="D32" s="11" t="s">
        <v>3</v>
      </c>
      <c r="E32" s="1"/>
    </row>
    <row r="33" spans="1:5" ht="15" customHeight="1" x14ac:dyDescent="0.25">
      <c r="A33" s="1"/>
      <c r="B33" s="32" t="s">
        <v>186</v>
      </c>
      <c r="C33" s="27"/>
      <c r="D33" s="19"/>
      <c r="E33" s="1"/>
    </row>
    <row r="34" spans="1:5" x14ac:dyDescent="0.25">
      <c r="A34" s="1"/>
      <c r="B34" s="30" t="s">
        <v>186</v>
      </c>
      <c r="C34" s="10">
        <f>'Fane 9. Korrektion af ØR2021'!E17</f>
        <v>0</v>
      </c>
      <c r="D34" s="11" t="s">
        <v>3</v>
      </c>
      <c r="E34" s="1"/>
    </row>
    <row r="35" spans="1:5" x14ac:dyDescent="0.25">
      <c r="A35" s="1"/>
      <c r="B35" s="29" t="s">
        <v>175</v>
      </c>
      <c r="C35" s="27"/>
      <c r="D35" s="19"/>
      <c r="E35" s="1"/>
    </row>
    <row r="36" spans="1:5" x14ac:dyDescent="0.25">
      <c r="A36" s="1"/>
      <c r="B36" s="92" t="s">
        <v>176</v>
      </c>
      <c r="C36" s="10">
        <f>'Fane 8. Skattesagen'!G12</f>
        <v>0</v>
      </c>
      <c r="D36" s="11" t="s">
        <v>3</v>
      </c>
      <c r="E36" s="1"/>
    </row>
    <row r="37" spans="1:5" x14ac:dyDescent="0.25">
      <c r="A37" s="1"/>
      <c r="B37" s="32" t="s">
        <v>90</v>
      </c>
      <c r="C37" s="54">
        <f>SUM(C34,C32,C24,C30,C22,C20,C36)</f>
        <v>79400704.236034393</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ru1VFYPYxtcaNIyd1wzcRkKV7RfwI3Cyoi6cRLBh9dyNOnkXQdH295oRIGaM7Op9RQ2UpHyrtv2RI8ePUQn5A==" saltValue="AcQ8A0TkvttYU2wBHQNgc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1" t="s">
        <v>263</v>
      </c>
      <c r="C3" s="121"/>
      <c r="D3" s="1"/>
    </row>
    <row r="4" spans="1:4" ht="25.5" customHeight="1" x14ac:dyDescent="0.25">
      <c r="A4" s="1"/>
      <c r="B4" s="121"/>
      <c r="C4" s="12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1" t="s">
        <v>112</v>
      </c>
      <c r="C9" s="24">
        <v>1.2699999999999999E-2</v>
      </c>
      <c r="D9" s="1"/>
    </row>
    <row r="10" spans="1:4" x14ac:dyDescent="0.25">
      <c r="A10" s="1"/>
      <c r="B10" s="91" t="s">
        <v>113</v>
      </c>
      <c r="C10" s="24">
        <v>1.7500000000000002E-2</v>
      </c>
      <c r="D10" s="1"/>
    </row>
    <row r="11" spans="1:4" x14ac:dyDescent="0.25">
      <c r="A11" s="1"/>
      <c r="B11" s="91"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1" t="s">
        <v>171</v>
      </c>
      <c r="C14" s="42">
        <v>3.3E-3</v>
      </c>
      <c r="D14" s="1"/>
    </row>
    <row r="15" spans="1:4" x14ac:dyDescent="0.25">
      <c r="A15" s="1"/>
      <c r="B15" s="33" t="s">
        <v>225</v>
      </c>
      <c r="C15" s="67">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1" t="s">
        <v>114</v>
      </c>
      <c r="C20" s="22">
        <v>9.1000000000000004E-3</v>
      </c>
      <c r="D20" s="1"/>
    </row>
    <row r="21" spans="1:4" x14ac:dyDescent="0.25">
      <c r="A21" s="1"/>
      <c r="B21" s="91" t="s">
        <v>145</v>
      </c>
      <c r="C21" s="22">
        <v>1.77E-2</v>
      </c>
      <c r="D21" s="1"/>
    </row>
    <row r="22" spans="1:4" x14ac:dyDescent="0.25">
      <c r="A22" s="1"/>
      <c r="B22" s="91" t="s">
        <v>146</v>
      </c>
      <c r="C22" s="22">
        <v>8.6999999999999994E-3</v>
      </c>
      <c r="D22" s="1"/>
    </row>
    <row r="23" spans="1:4" x14ac:dyDescent="0.25">
      <c r="A23" s="1"/>
      <c r="B23" s="91" t="s">
        <v>115</v>
      </c>
      <c r="C23" s="35">
        <v>2.8400000000000002E-2</v>
      </c>
      <c r="D23" s="1"/>
    </row>
    <row r="24" spans="1:4" x14ac:dyDescent="0.25">
      <c r="A24" s="1"/>
      <c r="B24" s="91" t="s">
        <v>147</v>
      </c>
      <c r="C24" s="35">
        <v>2.75E-2</v>
      </c>
      <c r="D24" s="1"/>
    </row>
    <row r="25" spans="1:4" x14ac:dyDescent="0.25">
      <c r="A25" s="1"/>
      <c r="B25" s="91" t="s">
        <v>148</v>
      </c>
      <c r="C25" s="35">
        <v>1.4800000000000001E-2</v>
      </c>
      <c r="D25" s="1"/>
    </row>
    <row r="26" spans="1:4" x14ac:dyDescent="0.25">
      <c r="A26" s="1"/>
      <c r="B26" s="33" t="s">
        <v>217</v>
      </c>
      <c r="C26" s="68">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1"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eknrn0eNoHiG11iIaUyD06BRk3QzAsBlQwmHA2GNJRc90+tvBwXH+8TUsthTgUXAuZ3QG/wUNuVfP82w46PsKQ==" saltValue="GVFUQNTgPukGVeSM/9dlk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5"/>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187</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74865192.206666976</v>
      </c>
      <c r="D9" s="8" t="s">
        <v>3</v>
      </c>
      <c r="E9" s="1"/>
    </row>
    <row r="10" spans="1:5" ht="15" customHeight="1" x14ac:dyDescent="0.25">
      <c r="A10" s="1"/>
      <c r="B10" s="25" t="s">
        <v>19</v>
      </c>
      <c r="C10" s="7">
        <f>SUM(C9:C9)*'Fane 15. Nøgletal'!C15</f>
        <v>2665200.8425573441</v>
      </c>
      <c r="D10" s="8" t="s">
        <v>3</v>
      </c>
      <c r="E10" s="1"/>
    </row>
    <row r="11" spans="1:5" ht="15" customHeight="1" x14ac:dyDescent="0.25">
      <c r="A11" s="1"/>
      <c r="B11" s="25" t="s">
        <v>10</v>
      </c>
      <c r="C11" s="9">
        <f>-SUM(C9:C10)*'Fane 5. Individuelt eff. krav'!G9</f>
        <v>-766355.87115272356</v>
      </c>
      <c r="D11" s="8" t="s">
        <v>3</v>
      </c>
      <c r="E11" s="1"/>
    </row>
    <row r="12" spans="1:5" ht="15" customHeight="1" x14ac:dyDescent="0.25">
      <c r="A12" s="1"/>
      <c r="B12" s="25" t="s">
        <v>24</v>
      </c>
      <c r="C12" s="9">
        <f>-'Fane 4.1. Gen. krav - drift'!G53</f>
        <v>-505795.93413077114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76258241.243940815</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omk.'!C26+'Fane 6. Ikke-påvirkelige omk.'!C34</f>
        <v>4696976.2576128962</v>
      </c>
      <c r="D16" s="11" t="s">
        <v>3</v>
      </c>
      <c r="E16" s="1"/>
    </row>
    <row r="17" spans="1:5" ht="15" customHeight="1" x14ac:dyDescent="0.25">
      <c r="A17" s="1"/>
      <c r="B17" s="32" t="s">
        <v>86</v>
      </c>
      <c r="C17" s="27"/>
      <c r="D17" s="19"/>
      <c r="E17" s="1"/>
    </row>
    <row r="18" spans="1:5" ht="15" customHeight="1" x14ac:dyDescent="0.25">
      <c r="A18" s="1"/>
      <c r="B18" s="86" t="s">
        <v>86</v>
      </c>
      <c r="C18" s="10">
        <f>'Fane 12. Periodevise driftsomk.'!E19</f>
        <v>0</v>
      </c>
      <c r="D18" s="11" t="s">
        <v>3</v>
      </c>
      <c r="E18" s="1"/>
    </row>
    <row r="19" spans="1:5"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2" t="s">
        <v>176</v>
      </c>
      <c r="C22" s="10">
        <f>'Fane 8. Skattesagen'!G13</f>
        <v>0</v>
      </c>
      <c r="D22" s="11" t="s">
        <v>3</v>
      </c>
      <c r="E22" s="1"/>
    </row>
    <row r="23" spans="1:5" x14ac:dyDescent="0.25">
      <c r="A23" s="1"/>
      <c r="B23" s="32" t="s">
        <v>128</v>
      </c>
      <c r="C23" s="12">
        <f>SUM(C14,C16,C18,C20,C22)</f>
        <v>80955217.501553714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Jl6/u35lgW1PHndojrU3CmISl11hfMfUnEF93EgMybugFIt53SM0uSA/MXrILdm1HosGgQkZhSo6rCAwDTGn4g==" saltValue="7HmF2/bmFFMYCRcynau8L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5"/>
  <sheetViews>
    <sheetView showGridLines="0" view="pageLayout" topLeftCell="A4"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188</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78"/>
      <c r="C6" s="78"/>
      <c r="D6" s="78"/>
      <c r="E6" s="1"/>
    </row>
    <row r="7" spans="1:5" x14ac:dyDescent="0.25">
      <c r="A7" s="1"/>
      <c r="B7" s="1"/>
      <c r="C7" s="1"/>
      <c r="D7" s="1"/>
      <c r="E7" s="1"/>
    </row>
    <row r="8" spans="1:5" x14ac:dyDescent="0.25">
      <c r="A8" s="1"/>
      <c r="B8" s="32" t="s">
        <v>13</v>
      </c>
      <c r="C8" s="27"/>
      <c r="D8" s="19"/>
      <c r="E8" s="1"/>
    </row>
    <row r="9" spans="1:5" ht="15" customHeight="1" x14ac:dyDescent="0.25">
      <c r="A9" s="1"/>
      <c r="B9" s="28" t="s">
        <v>235</v>
      </c>
      <c r="C9" s="7">
        <f>'Fane 2.2. Økonomisk ramme 2024'!C14</f>
        <v>76258241.243940815</v>
      </c>
      <c r="D9" s="8" t="s">
        <v>3</v>
      </c>
      <c r="E9" s="1"/>
    </row>
    <row r="10" spans="1:5" ht="15" customHeight="1" x14ac:dyDescent="0.25">
      <c r="A10" s="1"/>
      <c r="B10" s="25" t="s">
        <v>19</v>
      </c>
      <c r="C10" s="7">
        <f>SUM(C9:C9)*'Fane 15. Nøgletal'!C15</f>
        <v>2714793.388284293</v>
      </c>
      <c r="D10" s="8" t="s">
        <v>3</v>
      </c>
      <c r="E10" s="1"/>
    </row>
    <row r="11" spans="1:5" ht="15" customHeight="1" x14ac:dyDescent="0.25">
      <c r="A11" s="1"/>
      <c r="B11" s="25" t="s">
        <v>10</v>
      </c>
      <c r="C11" s="9">
        <f>-SUM(C9:C10)*'Fane 5. Individuelt eff. krav'!G9</f>
        <v>-780615.78656937554</v>
      </c>
      <c r="D11" s="8" t="s">
        <v>3</v>
      </c>
      <c r="E11" s="1"/>
    </row>
    <row r="12" spans="1:5" ht="15" customHeight="1" x14ac:dyDescent="0.25">
      <c r="A12" s="1"/>
      <c r="B12" s="25" t="s">
        <v>24</v>
      </c>
      <c r="C12" s="9">
        <f>-'Fane 4.1. Gen. krav - drift'!G58</f>
        <v>-513326.2239981101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77679092.621657625</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4864188.612383916</v>
      </c>
      <c r="D16" s="11" t="s">
        <v>3</v>
      </c>
      <c r="E16" s="1"/>
    </row>
    <row r="17" spans="1:5" ht="15" customHeight="1" x14ac:dyDescent="0.25">
      <c r="A17" s="1"/>
      <c r="B17" s="32" t="s">
        <v>86</v>
      </c>
      <c r="C17" s="27"/>
      <c r="D17" s="19"/>
      <c r="E17" s="1"/>
    </row>
    <row r="18" spans="1:5" ht="15" customHeight="1" x14ac:dyDescent="0.25">
      <c r="A18" s="1"/>
      <c r="B18" s="86"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2" t="s">
        <v>176</v>
      </c>
      <c r="C22" s="10">
        <f>'Fane 8. Skattesagen'!G14</f>
        <v>0</v>
      </c>
      <c r="D22" s="11" t="s">
        <v>3</v>
      </c>
      <c r="E22" s="1"/>
    </row>
    <row r="23" spans="1:5" x14ac:dyDescent="0.25">
      <c r="A23" s="1"/>
      <c r="B23" s="32" t="s">
        <v>149</v>
      </c>
      <c r="C23" s="12">
        <f>SUM(C14,C16,C18,C20,C22)</f>
        <v>82543281.234041542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mwyZRKd2tzGUS2pO/GRETH4dp4XOl9p3Ny5VLu6CG8ZUi8jwt9ieTVK5MKV5jCylfQes0543gd6kNvxTOQ6HQ==" saltValue="VGYFfZsss9UaWWJIXxQ+/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7"/>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189</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78"/>
      <c r="C6" s="78"/>
      <c r="D6" s="78"/>
      <c r="E6" s="1"/>
    </row>
    <row r="7" spans="1:5" x14ac:dyDescent="0.25">
      <c r="A7" s="1"/>
      <c r="B7" s="1"/>
      <c r="C7" s="1"/>
      <c r="D7" s="1"/>
      <c r="E7" s="1"/>
    </row>
    <row r="8" spans="1:5" x14ac:dyDescent="0.25">
      <c r="A8" s="1"/>
      <c r="B8" s="32" t="s">
        <v>13</v>
      </c>
      <c r="C8" s="27"/>
      <c r="D8" s="19"/>
      <c r="E8" s="1"/>
    </row>
    <row r="9" spans="1:5" ht="15" customHeight="1" x14ac:dyDescent="0.25">
      <c r="A9" s="1"/>
      <c r="B9" s="28" t="s">
        <v>190</v>
      </c>
      <c r="C9" s="7">
        <f>'Fane 2.3. Økonomisk ramme 2025'!C14</f>
        <v>77679092.621657625</v>
      </c>
      <c r="D9" s="8" t="s">
        <v>3</v>
      </c>
      <c r="E9" s="1"/>
    </row>
    <row r="10" spans="1:5" ht="15" customHeight="1" x14ac:dyDescent="0.25">
      <c r="A10" s="1"/>
      <c r="B10" s="25" t="s">
        <v>19</v>
      </c>
      <c r="C10" s="7">
        <f>SUM(C9:C9)*'Fane 15. Nøgletal'!C15</f>
        <v>2765375.6973310113</v>
      </c>
      <c r="D10" s="8" t="s">
        <v>3</v>
      </c>
      <c r="E10" s="1"/>
    </row>
    <row r="11" spans="1:5" ht="15" customHeight="1" x14ac:dyDescent="0.25">
      <c r="A11" s="1"/>
      <c r="B11" s="25" t="s">
        <v>10</v>
      </c>
      <c r="C11" s="9">
        <f>-SUM(C9:C10)*'Fane 5. Individuelt eff. krav'!G9</f>
        <v>-795160.30002421094</v>
      </c>
      <c r="D11" s="8" t="s">
        <v>3</v>
      </c>
      <c r="E11" s="1"/>
    </row>
    <row r="12" spans="1:5" ht="15" customHeight="1" x14ac:dyDescent="0.25">
      <c r="A12" s="1"/>
      <c r="B12" s="25" t="s">
        <v>24</v>
      </c>
      <c r="C12" s="9">
        <f>-'Fane 4.1. Gen. krav - drift'!G63</f>
        <v>-520968.62482099398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79128339.394143432</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5037353.726984784</v>
      </c>
      <c r="D16" s="11" t="s">
        <v>3</v>
      </c>
      <c r="E16" s="1"/>
    </row>
    <row r="17" spans="1:5" ht="15" customHeight="1" x14ac:dyDescent="0.25">
      <c r="A17" s="1"/>
      <c r="B17" s="32" t="s">
        <v>86</v>
      </c>
      <c r="C17" s="27"/>
      <c r="D17" s="19"/>
      <c r="E17" s="1"/>
    </row>
    <row r="18" spans="1:5" ht="15" customHeight="1" x14ac:dyDescent="0.25">
      <c r="A18" s="1"/>
      <c r="B18" s="86"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2" t="s">
        <v>176</v>
      </c>
      <c r="C22" s="10">
        <f>'Fane 8. Skattesagen'!G15</f>
        <v>0</v>
      </c>
      <c r="D22" s="11" t="s">
        <v>3</v>
      </c>
      <c r="E22" s="1"/>
    </row>
    <row r="23" spans="1:5" x14ac:dyDescent="0.25">
      <c r="A23" s="1"/>
      <c r="B23" s="32" t="s">
        <v>191</v>
      </c>
      <c r="C23" s="12">
        <f>SUM(C14,C16,C18,C20,C22)</f>
        <v>84165693.121128216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7HM7ZMYRouoELgpGEi+mSNRZReoBTsBBnIhr6igKaaNK1VmL4pWcCkc8nOwFfNXSKR0KASuEt7IdU8DAAk9qA==" saltValue="8L8T9jh6myMd1IPSzxAjD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2"/>
  <sheetViews>
    <sheetView showGridLines="0" view="pageLayout" topLeftCell="A4" zoomScaleNormal="100"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192</v>
      </c>
      <c r="C3" s="121"/>
      <c r="D3" s="121"/>
      <c r="E3" s="121"/>
      <c r="F3" s="121"/>
      <c r="G3" s="1"/>
    </row>
    <row r="4" spans="1:7" ht="29.2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219</v>
      </c>
      <c r="C8" s="27"/>
      <c r="D8" s="27"/>
      <c r="E8" s="27"/>
      <c r="F8" s="19"/>
      <c r="G8" s="1"/>
    </row>
    <row r="9" spans="1:7" ht="15" customHeight="1" x14ac:dyDescent="0.25">
      <c r="A9" s="1"/>
      <c r="B9" s="118" t="s">
        <v>193</v>
      </c>
      <c r="C9" s="119"/>
      <c r="D9" s="120"/>
      <c r="E9" s="7">
        <v>78507421.206479535</v>
      </c>
      <c r="F9" s="8" t="s">
        <v>3</v>
      </c>
      <c r="G9" s="1"/>
    </row>
    <row r="10" spans="1:7" ht="15" customHeight="1" x14ac:dyDescent="0.25">
      <c r="A10" s="1"/>
      <c r="B10" s="122" t="s">
        <v>39</v>
      </c>
      <c r="C10" s="123"/>
      <c r="D10" s="124"/>
      <c r="E10" s="7">
        <v>0</v>
      </c>
      <c r="F10" s="8" t="s">
        <v>3</v>
      </c>
      <c r="G10" s="1"/>
    </row>
    <row r="11" spans="1:7" ht="15" customHeight="1" x14ac:dyDescent="0.25">
      <c r="A11" s="1"/>
      <c r="B11" s="122" t="s">
        <v>40</v>
      </c>
      <c r="C11" s="123"/>
      <c r="D11" s="124"/>
      <c r="E11" s="9">
        <v>0</v>
      </c>
      <c r="F11" s="8" t="s">
        <v>3</v>
      </c>
      <c r="G11" s="1"/>
    </row>
    <row r="12" spans="1:7" ht="15" customHeight="1" x14ac:dyDescent="0.25">
      <c r="A12" s="1"/>
      <c r="B12" s="122" t="s">
        <v>27</v>
      </c>
      <c r="C12" s="123"/>
      <c r="D12" s="124"/>
      <c r="E12" s="9">
        <v>0</v>
      </c>
      <c r="F12" s="8" t="s">
        <v>3</v>
      </c>
      <c r="G12" s="1"/>
    </row>
    <row r="13" spans="1:7" ht="15" customHeight="1" x14ac:dyDescent="0.25">
      <c r="A13" s="1"/>
      <c r="B13" s="118" t="s">
        <v>26</v>
      </c>
      <c r="C13" s="119"/>
      <c r="D13" s="120"/>
      <c r="E13" s="9">
        <v>0</v>
      </c>
      <c r="F13" s="8" t="s">
        <v>3</v>
      </c>
      <c r="G13" s="1"/>
    </row>
    <row r="14" spans="1:7" ht="15" customHeight="1" x14ac:dyDescent="0.25">
      <c r="A14" s="1"/>
      <c r="B14" s="118" t="s">
        <v>29</v>
      </c>
      <c r="C14" s="119"/>
      <c r="D14" s="120"/>
      <c r="E14" s="9">
        <v>0</v>
      </c>
      <c r="F14" s="8" t="s">
        <v>3</v>
      </c>
      <c r="G14" s="1"/>
    </row>
    <row r="15" spans="1:7" ht="15" customHeight="1" x14ac:dyDescent="0.25">
      <c r="A15" s="1"/>
      <c r="B15" s="118" t="s">
        <v>28</v>
      </c>
      <c r="C15" s="119"/>
      <c r="D15" s="120"/>
      <c r="E15" s="9">
        <v>0</v>
      </c>
      <c r="F15" s="8" t="s">
        <v>3</v>
      </c>
      <c r="G15" s="1"/>
    </row>
    <row r="16" spans="1:7" ht="15" customHeight="1" x14ac:dyDescent="0.25">
      <c r="A16" s="1"/>
      <c r="B16" s="118" t="s">
        <v>19</v>
      </c>
      <c r="C16" s="119"/>
      <c r="D16" s="120"/>
      <c r="E16" s="9">
        <f>SUM(E9:E15)*'Fane 15. Nøgletal'!C14</f>
        <v>259074.48998138247</v>
      </c>
      <c r="F16" s="8" t="s">
        <v>3</v>
      </c>
      <c r="G16" s="1"/>
    </row>
    <row r="17" spans="1:7" ht="15" customHeight="1" x14ac:dyDescent="0.25">
      <c r="A17" s="1"/>
      <c r="B17" s="118" t="s">
        <v>10</v>
      </c>
      <c r="C17" s="119"/>
      <c r="D17" s="120"/>
      <c r="E17" s="9">
        <v>-778574.23460737232</v>
      </c>
      <c r="F17" s="8" t="s">
        <v>3</v>
      </c>
      <c r="G17" s="1"/>
    </row>
    <row r="18" spans="1:7" ht="15" customHeight="1" x14ac:dyDescent="0.25">
      <c r="A18" s="1"/>
      <c r="B18" s="118" t="s">
        <v>24</v>
      </c>
      <c r="C18" s="119"/>
      <c r="D18" s="120"/>
      <c r="E18" s="9">
        <f>-'Fane 4.1. Gen. krav - drift'!G39</f>
        <v>-506874.36622026353</v>
      </c>
      <c r="F18" s="8" t="s">
        <v>3</v>
      </c>
      <c r="G18" s="1"/>
    </row>
    <row r="19" spans="1:7" ht="15" customHeight="1" x14ac:dyDescent="0.25">
      <c r="A19" s="1"/>
      <c r="B19" s="118" t="s">
        <v>25</v>
      </c>
      <c r="C19" s="119"/>
      <c r="D19" s="120"/>
      <c r="E19" s="9">
        <f>-'Fane 4.2. Gen. krav - anlæg'!G37</f>
        <v>-809740.27043682185</v>
      </c>
      <c r="F19" s="8" t="s">
        <v>3</v>
      </c>
      <c r="G19" s="1"/>
    </row>
    <row r="20" spans="1:7" ht="15" customHeight="1" x14ac:dyDescent="0.25">
      <c r="A20" s="1"/>
      <c r="B20" s="53" t="s">
        <v>21</v>
      </c>
      <c r="C20" s="87"/>
      <c r="D20" s="93"/>
      <c r="E20" s="51">
        <f>SUM(E9:E19)</f>
        <v>76671306.82519646</v>
      </c>
      <c r="F20" s="52" t="s">
        <v>3</v>
      </c>
      <c r="G20" s="1"/>
    </row>
    <row r="21" spans="1:7" ht="15" customHeight="1" x14ac:dyDescent="0.25">
      <c r="A21" s="1"/>
      <c r="B21" s="32" t="s">
        <v>12</v>
      </c>
      <c r="C21" s="27"/>
      <c r="D21" s="27"/>
      <c r="E21" s="27"/>
      <c r="F21" s="19"/>
      <c r="G21" s="1"/>
    </row>
    <row r="22" spans="1:7" ht="15" customHeight="1" x14ac:dyDescent="0.25">
      <c r="A22" s="1"/>
      <c r="B22" s="125" t="s">
        <v>12</v>
      </c>
      <c r="C22" s="126"/>
      <c r="D22" s="127"/>
      <c r="E22" s="10">
        <v>3717966.6461486104</v>
      </c>
      <c r="F22" s="11" t="s">
        <v>3</v>
      </c>
      <c r="G22" s="1"/>
    </row>
    <row r="23" spans="1:7" ht="15" customHeight="1" x14ac:dyDescent="0.25">
      <c r="A23" s="1"/>
      <c r="B23" s="128" t="s">
        <v>86</v>
      </c>
      <c r="C23" s="129"/>
      <c r="D23" s="130"/>
      <c r="E23" s="27"/>
      <c r="F23" s="27"/>
      <c r="G23" s="1"/>
    </row>
    <row r="24" spans="1:7" ht="15" customHeight="1" x14ac:dyDescent="0.25">
      <c r="A24" s="1"/>
      <c r="B24" s="86"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2" t="s">
        <v>81</v>
      </c>
      <c r="C26" s="123"/>
      <c r="D26" s="124"/>
      <c r="E26" s="9">
        <v>0</v>
      </c>
      <c r="F26" s="8" t="s">
        <v>3</v>
      </c>
      <c r="G26" s="1"/>
    </row>
    <row r="27" spans="1:7" ht="15" customHeight="1" x14ac:dyDescent="0.25">
      <c r="A27" s="1"/>
      <c r="B27" s="122" t="s">
        <v>82</v>
      </c>
      <c r="C27" s="123"/>
      <c r="D27" s="123"/>
      <c r="E27" s="9">
        <v>0</v>
      </c>
      <c r="F27" s="8" t="s">
        <v>3</v>
      </c>
      <c r="G27" s="1"/>
    </row>
    <row r="28" spans="1:7" ht="15" customHeight="1" x14ac:dyDescent="0.25">
      <c r="A28" s="1"/>
      <c r="B28" s="131" t="s">
        <v>87</v>
      </c>
      <c r="C28" s="132"/>
      <c r="D28" s="132"/>
      <c r="E28" s="39">
        <v>0</v>
      </c>
      <c r="F28" s="11" t="s">
        <v>3</v>
      </c>
      <c r="G28" s="1"/>
    </row>
    <row r="29" spans="1:7" ht="15" customHeight="1" x14ac:dyDescent="0.25">
      <c r="A29" s="1"/>
      <c r="B29" s="32" t="s">
        <v>143</v>
      </c>
      <c r="C29" s="32"/>
      <c r="D29" s="32"/>
      <c r="E29" s="27"/>
      <c r="F29" s="27"/>
      <c r="G29" s="1"/>
    </row>
    <row r="30" spans="1:7" ht="15" customHeight="1" x14ac:dyDescent="0.25">
      <c r="A30" s="1"/>
      <c r="B30" s="125" t="s">
        <v>142</v>
      </c>
      <c r="C30" s="126"/>
      <c r="D30" s="126"/>
      <c r="E30" s="39">
        <v>0</v>
      </c>
      <c r="F30" s="11" t="s">
        <v>3</v>
      </c>
      <c r="G30" s="1"/>
    </row>
    <row r="31" spans="1:7" x14ac:dyDescent="0.25">
      <c r="A31" s="1"/>
      <c r="B31" s="32" t="s">
        <v>123</v>
      </c>
      <c r="C31" s="27"/>
      <c r="D31" s="27"/>
      <c r="E31" s="27"/>
      <c r="F31" s="27"/>
      <c r="G31" s="1"/>
    </row>
    <row r="32" spans="1:7" ht="15.4" customHeight="1" x14ac:dyDescent="0.25">
      <c r="A32" s="1"/>
      <c r="B32" s="125" t="s">
        <v>123</v>
      </c>
      <c r="C32" s="126"/>
      <c r="D32" s="127"/>
      <c r="E32" s="10">
        <v>0</v>
      </c>
      <c r="F32" s="11" t="s">
        <v>3</v>
      </c>
      <c r="G32" s="1"/>
    </row>
    <row r="33" spans="1:7" ht="15.4" customHeight="1" x14ac:dyDescent="0.25">
      <c r="A33" s="1"/>
      <c r="B33" s="128" t="s">
        <v>175</v>
      </c>
      <c r="C33" s="129"/>
      <c r="D33" s="129"/>
      <c r="E33" s="129"/>
      <c r="F33" s="130"/>
      <c r="G33" s="1"/>
    </row>
    <row r="34" spans="1:7" ht="15.4" customHeight="1" x14ac:dyDescent="0.25">
      <c r="A34" s="1"/>
      <c r="B34" s="92" t="s">
        <v>176</v>
      </c>
      <c r="C34" s="10"/>
      <c r="D34" s="11"/>
      <c r="E34" s="10">
        <f>'Fane 8. Skattesagen'!G11</f>
        <v>0</v>
      </c>
      <c r="F34" s="11" t="s">
        <v>3</v>
      </c>
      <c r="G34" s="1"/>
    </row>
    <row r="35" spans="1:7" x14ac:dyDescent="0.25">
      <c r="A35" s="1"/>
      <c r="B35" s="32" t="s">
        <v>220</v>
      </c>
      <c r="C35" s="27"/>
      <c r="D35" s="19"/>
      <c r="E35" s="12">
        <f>SUM(E32,E30,E28,E24,E22,E20,E34)</f>
        <v>80389273.471345067</v>
      </c>
      <c r="F35" s="13" t="s">
        <v>3</v>
      </c>
      <c r="G35" s="1"/>
    </row>
    <row r="36" spans="1:7" ht="27" customHeight="1" x14ac:dyDescent="0.25">
      <c r="A36" s="1"/>
      <c r="B36" s="118" t="s">
        <v>224</v>
      </c>
      <c r="C36" s="119"/>
      <c r="D36" s="119"/>
      <c r="E36" s="119"/>
      <c r="F36" s="12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hXHUYtB/PGQV5Z9IeXNwDiJyKI5qzuYy/LHn/eTNxzIiX7XoMacu7poqK+cig87KUCYAe6Gs2xBvds4k6zDfbQ==" saltValue="MjzDxpYNGjZZeQWGgU9ox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8"/>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1" t="s">
        <v>109</v>
      </c>
      <c r="C2" s="121"/>
      <c r="D2" s="121"/>
      <c r="E2" s="121"/>
      <c r="F2" s="121"/>
      <c r="G2" s="121"/>
      <c r="H2" s="121"/>
      <c r="I2" s="1"/>
    </row>
    <row r="3" spans="1:9" ht="28.5" customHeight="1" x14ac:dyDescent="0.25">
      <c r="A3" s="1"/>
      <c r="B3" s="121"/>
      <c r="C3" s="121"/>
      <c r="D3" s="121"/>
      <c r="E3" s="121"/>
      <c r="F3" s="121"/>
      <c r="G3" s="121"/>
      <c r="H3" s="121"/>
      <c r="I3" s="1"/>
    </row>
    <row r="4" spans="1:9" x14ac:dyDescent="0.25">
      <c r="A4" s="1"/>
      <c r="B4" s="128" t="s">
        <v>52</v>
      </c>
      <c r="C4" s="129"/>
      <c r="D4" s="129"/>
      <c r="E4" s="129"/>
      <c r="F4" s="129"/>
      <c r="G4" s="129"/>
      <c r="H4" s="130"/>
      <c r="I4" s="1"/>
    </row>
    <row r="5" spans="1:9" x14ac:dyDescent="0.25">
      <c r="A5" s="1"/>
      <c r="B5" s="133" t="s">
        <v>41</v>
      </c>
      <c r="C5" s="134"/>
      <c r="D5" s="134"/>
      <c r="E5" s="134"/>
      <c r="F5" s="135"/>
      <c r="G5" s="73">
        <v>26016840</v>
      </c>
      <c r="H5" s="14" t="s">
        <v>3</v>
      </c>
      <c r="I5" s="1"/>
    </row>
    <row r="6" spans="1:9" x14ac:dyDescent="0.25">
      <c r="A6" s="1"/>
      <c r="B6" s="118" t="s">
        <v>120</v>
      </c>
      <c r="C6" s="119"/>
      <c r="D6" s="119"/>
      <c r="E6" s="119"/>
      <c r="F6" s="120"/>
      <c r="G6" s="74">
        <v>0</v>
      </c>
      <c r="H6" s="14" t="s">
        <v>3</v>
      </c>
      <c r="I6" s="1"/>
    </row>
    <row r="7" spans="1:9" x14ac:dyDescent="0.25">
      <c r="A7" s="1"/>
      <c r="B7" s="133" t="s">
        <v>42</v>
      </c>
      <c r="C7" s="134"/>
      <c r="D7" s="134"/>
      <c r="E7" s="134"/>
      <c r="F7" s="135"/>
      <c r="G7" s="73">
        <f>SUM(G5:G6)*'Fane 15. Nøgletal'!C31</f>
        <v>520336.8</v>
      </c>
      <c r="H7" s="14" t="s">
        <v>3</v>
      </c>
      <c r="I7" s="1"/>
    </row>
    <row r="8" spans="1:9" x14ac:dyDescent="0.25">
      <c r="A8" s="1"/>
      <c r="B8" s="32"/>
      <c r="C8" s="27"/>
      <c r="D8" s="27"/>
      <c r="E8" s="27"/>
      <c r="F8" s="27"/>
      <c r="G8" s="75"/>
      <c r="H8" s="19"/>
      <c r="I8" s="1"/>
    </row>
    <row r="9" spans="1:9" x14ac:dyDescent="0.25">
      <c r="A9" s="1"/>
      <c r="B9" s="1"/>
      <c r="C9" s="1"/>
      <c r="D9" s="1"/>
      <c r="E9" s="1"/>
      <c r="F9" s="1"/>
      <c r="G9" s="76"/>
      <c r="H9" s="1"/>
      <c r="I9" s="1"/>
    </row>
    <row r="10" spans="1:9" x14ac:dyDescent="0.25">
      <c r="A10" s="1"/>
      <c r="B10" s="128" t="s">
        <v>53</v>
      </c>
      <c r="C10" s="129"/>
      <c r="D10" s="129"/>
      <c r="E10" s="129"/>
      <c r="F10" s="129"/>
      <c r="G10" s="136"/>
      <c r="H10" s="130"/>
      <c r="I10" s="1"/>
    </row>
    <row r="11" spans="1:9" x14ac:dyDescent="0.25">
      <c r="A11" s="1"/>
      <c r="B11" s="133" t="s">
        <v>43</v>
      </c>
      <c r="C11" s="134"/>
      <c r="D11" s="134"/>
      <c r="E11" s="134"/>
      <c r="F11" s="135"/>
      <c r="G11" s="73">
        <f>(G5-G7)*(1+'Fane 15. Nøgletal'!C10)</f>
        <v>25942692.006000001</v>
      </c>
      <c r="H11" s="14" t="s">
        <v>3</v>
      </c>
      <c r="I11" s="1"/>
    </row>
    <row r="12" spans="1:9" ht="15" customHeight="1" x14ac:dyDescent="0.25">
      <c r="A12" s="1"/>
      <c r="B12" s="133" t="s">
        <v>121</v>
      </c>
      <c r="C12" s="134"/>
      <c r="D12" s="134"/>
      <c r="E12" s="134"/>
      <c r="F12" s="135"/>
      <c r="G12" s="74">
        <v>-57227.578235559347</v>
      </c>
      <c r="H12" s="14" t="s">
        <v>3</v>
      </c>
      <c r="I12" s="1"/>
    </row>
    <row r="13" spans="1:9" x14ac:dyDescent="0.25">
      <c r="A13" s="1"/>
      <c r="B13" s="118" t="s">
        <v>118</v>
      </c>
      <c r="C13" s="119"/>
      <c r="D13" s="119"/>
      <c r="E13" s="119"/>
      <c r="F13" s="120"/>
      <c r="G13" s="74">
        <v>0</v>
      </c>
      <c r="H13" s="14" t="s">
        <v>3</v>
      </c>
      <c r="I13" s="1"/>
    </row>
    <row r="14" spans="1:9" x14ac:dyDescent="0.25">
      <c r="A14" s="1"/>
      <c r="B14" s="140" t="s">
        <v>44</v>
      </c>
      <c r="C14" s="141"/>
      <c r="D14" s="141"/>
      <c r="E14" s="141"/>
      <c r="F14" s="142"/>
      <c r="G14" s="74">
        <v>0</v>
      </c>
      <c r="H14" s="14" t="s">
        <v>3</v>
      </c>
      <c r="I14" s="1"/>
    </row>
    <row r="15" spans="1:9" x14ac:dyDescent="0.25">
      <c r="A15" s="1"/>
      <c r="B15" s="133" t="s">
        <v>45</v>
      </c>
      <c r="C15" s="134"/>
      <c r="D15" s="134"/>
      <c r="E15" s="134"/>
      <c r="F15" s="135"/>
      <c r="G15" s="73">
        <f>SUM(G11:G14)*'Fane 15. Nøgletal'!C31</f>
        <v>517709.28855528886</v>
      </c>
      <c r="H15" s="14" t="s">
        <v>3</v>
      </c>
      <c r="I15" s="1"/>
    </row>
    <row r="16" spans="1:9" x14ac:dyDescent="0.25">
      <c r="A16" s="1"/>
      <c r="B16" s="32"/>
      <c r="C16" s="27"/>
      <c r="D16" s="27"/>
      <c r="E16" s="27"/>
      <c r="F16" s="27"/>
      <c r="G16" s="75"/>
      <c r="H16" s="19"/>
      <c r="I16" s="1"/>
    </row>
    <row r="17" spans="1:9" x14ac:dyDescent="0.25">
      <c r="A17" s="1"/>
      <c r="B17" s="1"/>
      <c r="C17" s="1"/>
      <c r="D17" s="1"/>
      <c r="E17" s="1"/>
      <c r="F17" s="1"/>
      <c r="G17" s="76"/>
      <c r="H17" s="1"/>
      <c r="I17" s="1"/>
    </row>
    <row r="18" spans="1:9" x14ac:dyDescent="0.25">
      <c r="A18" s="1"/>
      <c r="B18" s="128" t="s">
        <v>54</v>
      </c>
      <c r="C18" s="129"/>
      <c r="D18" s="129"/>
      <c r="E18" s="129"/>
      <c r="F18" s="129"/>
      <c r="G18" s="136"/>
      <c r="H18" s="130"/>
      <c r="I18" s="1"/>
    </row>
    <row r="19" spans="1:9" x14ac:dyDescent="0.25">
      <c r="A19" s="1"/>
      <c r="B19" s="133" t="s">
        <v>46</v>
      </c>
      <c r="C19" s="134"/>
      <c r="D19" s="134"/>
      <c r="E19" s="134"/>
      <c r="F19" s="135"/>
      <c r="G19" s="73">
        <f>(SUM(G11:G12,G14)-(G15))*(1+'Fane 15. Nøgletal'!C10)</f>
        <v>25811690.854145315</v>
      </c>
      <c r="H19" s="14" t="s">
        <v>3</v>
      </c>
      <c r="I19" s="1"/>
    </row>
    <row r="20" spans="1:9" x14ac:dyDescent="0.25">
      <c r="A20" s="1"/>
      <c r="B20" s="140" t="s">
        <v>47</v>
      </c>
      <c r="C20" s="141"/>
      <c r="D20" s="141"/>
      <c r="E20" s="141"/>
      <c r="F20" s="142"/>
      <c r="G20" s="74">
        <v>0</v>
      </c>
      <c r="H20" s="14" t="s">
        <v>3</v>
      </c>
      <c r="I20" s="1"/>
    </row>
    <row r="21" spans="1:9" x14ac:dyDescent="0.25">
      <c r="A21" s="1"/>
      <c r="B21" s="133" t="s">
        <v>48</v>
      </c>
      <c r="C21" s="134"/>
      <c r="D21" s="134"/>
      <c r="E21" s="134"/>
      <c r="F21" s="135"/>
      <c r="G21" s="73">
        <f>SUM(G19:G20)*'Fane 15. Nøgletal'!C31</f>
        <v>516233.81708290632</v>
      </c>
      <c r="H21" s="14" t="s">
        <v>3</v>
      </c>
      <c r="I21" s="1"/>
    </row>
    <row r="22" spans="1:9" x14ac:dyDescent="0.25">
      <c r="A22" s="1"/>
      <c r="B22" s="32"/>
      <c r="C22" s="27"/>
      <c r="D22" s="27"/>
      <c r="E22" s="27"/>
      <c r="F22" s="27"/>
      <c r="G22" s="75"/>
      <c r="H22" s="19"/>
      <c r="I22" s="1"/>
    </row>
    <row r="23" spans="1:9" x14ac:dyDescent="0.25">
      <c r="A23" s="1"/>
      <c r="B23" s="1"/>
      <c r="C23" s="1"/>
      <c r="D23" s="1"/>
      <c r="E23" s="1"/>
      <c r="F23" s="1"/>
      <c r="G23" s="76"/>
      <c r="H23" s="1"/>
      <c r="I23" s="1"/>
    </row>
    <row r="24" spans="1:9" x14ac:dyDescent="0.25">
      <c r="A24" s="1"/>
      <c r="B24" s="128" t="s">
        <v>55</v>
      </c>
      <c r="C24" s="129"/>
      <c r="D24" s="129"/>
      <c r="E24" s="129"/>
      <c r="F24" s="129"/>
      <c r="G24" s="136"/>
      <c r="H24" s="130"/>
      <c r="I24" s="1"/>
    </row>
    <row r="25" spans="1:9" x14ac:dyDescent="0.25">
      <c r="A25" s="1"/>
      <c r="B25" s="133" t="s">
        <v>49</v>
      </c>
      <c r="C25" s="134"/>
      <c r="D25" s="134"/>
      <c r="E25" s="134"/>
      <c r="F25" s="135"/>
      <c r="G25" s="73">
        <f>(G19+G20-G21)*(1+'Fane 15. Nøgletal'!C12)</f>
        <v>25793777.540692538</v>
      </c>
      <c r="H25" s="14" t="s">
        <v>3</v>
      </c>
      <c r="I25" s="1"/>
    </row>
    <row r="26" spans="1:9" x14ac:dyDescent="0.25">
      <c r="A26" s="1"/>
      <c r="B26" s="140" t="s">
        <v>50</v>
      </c>
      <c r="C26" s="141"/>
      <c r="D26" s="141"/>
      <c r="E26" s="141"/>
      <c r="F26" s="142"/>
      <c r="G26" s="74">
        <v>0</v>
      </c>
      <c r="H26" s="14" t="s">
        <v>3</v>
      </c>
      <c r="I26" s="1"/>
    </row>
    <row r="27" spans="1:9" x14ac:dyDescent="0.25">
      <c r="A27" s="1"/>
      <c r="B27" s="133" t="s">
        <v>51</v>
      </c>
      <c r="C27" s="134"/>
      <c r="D27" s="134"/>
      <c r="E27" s="134"/>
      <c r="F27" s="135"/>
      <c r="G27" s="73">
        <f>(G25+G26)*'Fane 15. Nøgletal'!C31</f>
        <v>515875.55081385077</v>
      </c>
      <c r="H27" s="14" t="s">
        <v>3</v>
      </c>
      <c r="I27" s="1"/>
    </row>
    <row r="28" spans="1:9" x14ac:dyDescent="0.25">
      <c r="A28" s="1"/>
      <c r="B28" s="32"/>
      <c r="C28" s="27"/>
      <c r="D28" s="27"/>
      <c r="E28" s="27"/>
      <c r="F28" s="27"/>
      <c r="G28" s="75"/>
      <c r="H28" s="19"/>
      <c r="I28" s="1"/>
    </row>
    <row r="29" spans="1:9" x14ac:dyDescent="0.25">
      <c r="A29" s="1"/>
      <c r="B29" s="1"/>
      <c r="C29" s="1"/>
      <c r="D29" s="1"/>
      <c r="E29" s="1"/>
      <c r="F29" s="1"/>
      <c r="G29" s="76"/>
      <c r="H29" s="1"/>
      <c r="I29" s="1"/>
    </row>
    <row r="30" spans="1:9" x14ac:dyDescent="0.25">
      <c r="A30" s="1"/>
      <c r="B30" s="128" t="s">
        <v>58</v>
      </c>
      <c r="C30" s="129"/>
      <c r="D30" s="129"/>
      <c r="E30" s="129"/>
      <c r="F30" s="129"/>
      <c r="G30" s="136"/>
      <c r="H30" s="130"/>
      <c r="I30" s="1"/>
    </row>
    <row r="31" spans="1:9" x14ac:dyDescent="0.25">
      <c r="A31" s="1"/>
      <c r="B31" s="133" t="s">
        <v>59</v>
      </c>
      <c r="C31" s="134"/>
      <c r="D31" s="134"/>
      <c r="E31" s="134"/>
      <c r="F31" s="135"/>
      <c r="G31" s="73">
        <f>(G25+G26-G27)*(1+'Fane 15. Nøgletal'!C12)</f>
        <v>25775876.659079298</v>
      </c>
      <c r="H31" s="14" t="s">
        <v>3</v>
      </c>
      <c r="I31" s="1"/>
    </row>
    <row r="32" spans="1:9" x14ac:dyDescent="0.25">
      <c r="A32" s="1"/>
      <c r="B32" s="133" t="s">
        <v>137</v>
      </c>
      <c r="C32" s="134"/>
      <c r="D32" s="134"/>
      <c r="E32" s="134"/>
      <c r="F32" s="135"/>
      <c r="G32" s="73">
        <v>0</v>
      </c>
      <c r="H32" s="14" t="s">
        <v>3</v>
      </c>
      <c r="I32" s="1"/>
    </row>
    <row r="33" spans="1:9" x14ac:dyDescent="0.25">
      <c r="A33" s="1"/>
      <c r="B33" s="133" t="s">
        <v>60</v>
      </c>
      <c r="C33" s="134"/>
      <c r="D33" s="134"/>
      <c r="E33" s="134"/>
      <c r="F33" s="135"/>
      <c r="G33" s="73">
        <f>(G31+G32)*'Fane 15. Nøgletal'!C31</f>
        <v>515517.53318158595</v>
      </c>
      <c r="H33" s="14" t="s">
        <v>3</v>
      </c>
      <c r="I33" s="1"/>
    </row>
    <row r="34" spans="1:9" x14ac:dyDescent="0.25">
      <c r="A34" s="1"/>
      <c r="B34" s="32"/>
      <c r="C34" s="27"/>
      <c r="D34" s="27"/>
      <c r="E34" s="27"/>
      <c r="F34" s="27"/>
      <c r="G34" s="75"/>
      <c r="H34" s="19"/>
      <c r="I34" s="1"/>
    </row>
    <row r="35" spans="1:9" x14ac:dyDescent="0.25">
      <c r="A35" s="1"/>
      <c r="B35" s="1"/>
      <c r="C35" s="1"/>
      <c r="D35" s="1"/>
      <c r="E35" s="1"/>
      <c r="F35" s="1"/>
      <c r="G35" s="76"/>
      <c r="H35" s="1"/>
      <c r="I35" s="1"/>
    </row>
    <row r="36" spans="1:9" x14ac:dyDescent="0.25">
      <c r="A36" s="1"/>
      <c r="B36" s="128" t="s">
        <v>160</v>
      </c>
      <c r="C36" s="129"/>
      <c r="D36" s="129"/>
      <c r="E36" s="129"/>
      <c r="F36" s="129"/>
      <c r="G36" s="136"/>
      <c r="H36" s="130"/>
      <c r="I36" s="1"/>
    </row>
    <row r="37" spans="1:9" x14ac:dyDescent="0.25">
      <c r="A37" s="1"/>
      <c r="B37" s="133" t="s">
        <v>79</v>
      </c>
      <c r="C37" s="134"/>
      <c r="D37" s="134"/>
      <c r="E37" s="134"/>
      <c r="F37" s="135"/>
      <c r="G37" s="73">
        <f>(G31+G32-G33)*(1+'Fane 15. Nøgletal'!C14)</f>
        <v>25343718.311013177</v>
      </c>
      <c r="H37" s="14" t="s">
        <v>3</v>
      </c>
      <c r="I37" s="1"/>
    </row>
    <row r="38" spans="1:9" x14ac:dyDescent="0.25">
      <c r="A38" s="1"/>
      <c r="B38" s="133" t="s">
        <v>164</v>
      </c>
      <c r="C38" s="134"/>
      <c r="D38" s="134"/>
      <c r="E38" s="134"/>
      <c r="F38" s="135"/>
      <c r="G38" s="73">
        <v>0</v>
      </c>
      <c r="H38" s="14" t="s">
        <v>3</v>
      </c>
      <c r="I38" s="1"/>
    </row>
    <row r="39" spans="1:9" x14ac:dyDescent="0.25">
      <c r="A39" s="1"/>
      <c r="B39" s="133" t="s">
        <v>162</v>
      </c>
      <c r="C39" s="134"/>
      <c r="D39" s="134"/>
      <c r="E39" s="134"/>
      <c r="F39" s="135"/>
      <c r="G39" s="73">
        <f>(G37+G38)*'Fane 15. Nøgletal'!C31</f>
        <v>506874.36622026353</v>
      </c>
      <c r="H39" s="14" t="s">
        <v>3</v>
      </c>
      <c r="I39" s="1"/>
    </row>
    <row r="40" spans="1:9" x14ac:dyDescent="0.25">
      <c r="A40" s="1"/>
      <c r="B40" s="32"/>
      <c r="C40" s="27"/>
      <c r="D40" s="27"/>
      <c r="E40" s="27"/>
      <c r="F40" s="27"/>
      <c r="G40" s="75"/>
      <c r="H40" s="19"/>
      <c r="I40" s="1"/>
    </row>
    <row r="41" spans="1:9" x14ac:dyDescent="0.25">
      <c r="A41" s="1"/>
      <c r="B41" s="1"/>
      <c r="C41" s="1"/>
      <c r="D41" s="1"/>
      <c r="E41" s="1"/>
      <c r="F41" s="1"/>
      <c r="G41" s="76"/>
      <c r="H41" s="1"/>
      <c r="I41" s="1"/>
    </row>
    <row r="42" spans="1:9" x14ac:dyDescent="0.25">
      <c r="A42" s="1"/>
      <c r="B42" s="128" t="s">
        <v>161</v>
      </c>
      <c r="C42" s="129"/>
      <c r="D42" s="129"/>
      <c r="E42" s="129"/>
      <c r="F42" s="129"/>
      <c r="G42" s="136"/>
      <c r="H42" s="130"/>
      <c r="I42" s="1"/>
    </row>
    <row r="43" spans="1:9" x14ac:dyDescent="0.25">
      <c r="A43" s="1"/>
      <c r="B43" s="133" t="s">
        <v>230</v>
      </c>
      <c r="C43" s="134"/>
      <c r="D43" s="134"/>
      <c r="E43" s="134"/>
      <c r="F43" s="135"/>
      <c r="G43" s="73">
        <f>(G37+G38-G39)*(1+'Fane 15. Nøgletal'!C14)</f>
        <v>24918805.529810734</v>
      </c>
      <c r="H43" s="14" t="s">
        <v>3</v>
      </c>
      <c r="I43" s="1"/>
    </row>
    <row r="44" spans="1:9" x14ac:dyDescent="0.25">
      <c r="A44" s="1"/>
      <c r="B44" s="137" t="s">
        <v>232</v>
      </c>
      <c r="C44" s="138"/>
      <c r="D44" s="138"/>
      <c r="E44" s="138"/>
      <c r="F44" s="139"/>
      <c r="G44" s="77">
        <f>('Fane 2.1. Økonomisk ramme 2023'!C10+'Fane 2.1. Økonomisk ramme 2023'!C12+'Fane 2.1. Økonomisk ramme 2023'!C14)*(1+'Fane 15. Nøgletal'!C15)</f>
        <v>0</v>
      </c>
      <c r="H44" s="14" t="s">
        <v>3</v>
      </c>
      <c r="I44" s="1"/>
    </row>
    <row r="45" spans="1:9" x14ac:dyDescent="0.25">
      <c r="A45" s="1"/>
      <c r="B45" s="133" t="s">
        <v>163</v>
      </c>
      <c r="C45" s="134"/>
      <c r="D45" s="134"/>
      <c r="E45" s="134"/>
      <c r="F45" s="135"/>
      <c r="G45" s="73">
        <f>SUM(G43:G44)*'Fane 15. Nøgletal'!C31</f>
        <v>498376.11059621471</v>
      </c>
      <c r="H45" s="14" t="s">
        <v>3</v>
      </c>
      <c r="I45" s="1"/>
    </row>
    <row r="46" spans="1:9" x14ac:dyDescent="0.25">
      <c r="A46" s="1"/>
      <c r="B46" s="32"/>
      <c r="C46" s="27"/>
      <c r="D46" s="27"/>
      <c r="E46" s="27"/>
      <c r="F46" s="27"/>
      <c r="G46" s="75"/>
      <c r="H46" s="19"/>
      <c r="I46" s="1"/>
    </row>
    <row r="47" spans="1:9" x14ac:dyDescent="0.25">
      <c r="A47" s="1"/>
      <c r="B47" s="1"/>
      <c r="C47" s="1"/>
      <c r="D47" s="1"/>
      <c r="E47" s="1"/>
      <c r="F47" s="1"/>
      <c r="G47" s="76"/>
      <c r="H47" s="1"/>
      <c r="I47" s="1"/>
    </row>
    <row r="48" spans="1:9" x14ac:dyDescent="0.25">
      <c r="A48" s="1"/>
      <c r="B48" s="1"/>
      <c r="C48" s="1"/>
      <c r="D48" s="1"/>
      <c r="E48" s="1"/>
      <c r="F48" s="1"/>
      <c r="G48" s="76"/>
      <c r="H48" s="1"/>
      <c r="I48" s="1"/>
    </row>
    <row r="49" spans="1:9" x14ac:dyDescent="0.25">
      <c r="A49" s="1"/>
      <c r="B49" s="1"/>
      <c r="C49" s="1"/>
      <c r="D49" s="1"/>
      <c r="E49" s="1"/>
      <c r="F49" s="1"/>
      <c r="G49" s="76"/>
      <c r="H49" s="1"/>
      <c r="I49" s="1"/>
    </row>
    <row r="50" spans="1:9" x14ac:dyDescent="0.25">
      <c r="A50" s="1"/>
      <c r="B50" s="1"/>
      <c r="C50" s="1"/>
      <c r="D50" s="1"/>
      <c r="E50" s="1"/>
      <c r="F50" s="1"/>
      <c r="G50" s="76"/>
      <c r="H50" s="1"/>
      <c r="I50" s="1"/>
    </row>
    <row r="51" spans="1:9" x14ac:dyDescent="0.25">
      <c r="A51" s="1"/>
      <c r="B51" s="128" t="s">
        <v>243</v>
      </c>
      <c r="C51" s="129"/>
      <c r="D51" s="129"/>
      <c r="E51" s="129"/>
      <c r="F51" s="129"/>
      <c r="G51" s="136"/>
      <c r="H51" s="130"/>
      <c r="I51" s="1"/>
    </row>
    <row r="52" spans="1:9" x14ac:dyDescent="0.25">
      <c r="A52" s="1"/>
      <c r="B52" s="133" t="s">
        <v>229</v>
      </c>
      <c r="C52" s="134"/>
      <c r="D52" s="134"/>
      <c r="E52" s="134"/>
      <c r="F52" s="135"/>
      <c r="G52" s="73">
        <f>(G43+G44-G45)*(1+'Fane 15. Nøgletal'!C15)</f>
        <v>25289796.706538558</v>
      </c>
      <c r="H52" s="14" t="s">
        <v>3</v>
      </c>
      <c r="I52" s="1"/>
    </row>
    <row r="53" spans="1:9" x14ac:dyDescent="0.25">
      <c r="A53" s="1"/>
      <c r="B53" s="133" t="s">
        <v>138</v>
      </c>
      <c r="C53" s="134"/>
      <c r="D53" s="134"/>
      <c r="E53" s="134"/>
      <c r="F53" s="135"/>
      <c r="G53" s="73">
        <f>(G52)*'Fane 15. Nøgletal'!C31</f>
        <v>505795.93413077114</v>
      </c>
      <c r="H53" s="14" t="s">
        <v>3</v>
      </c>
      <c r="I53" s="1"/>
    </row>
    <row r="54" spans="1:9" x14ac:dyDescent="0.25">
      <c r="A54" s="1"/>
      <c r="B54" s="32"/>
      <c r="C54" s="27"/>
      <c r="D54" s="27"/>
      <c r="E54" s="27"/>
      <c r="F54" s="27"/>
      <c r="G54" s="75"/>
      <c r="H54" s="19"/>
      <c r="I54" s="1"/>
    </row>
    <row r="55" spans="1:9" x14ac:dyDescent="0.25">
      <c r="A55" s="1"/>
      <c r="B55" s="1"/>
      <c r="C55" s="1"/>
      <c r="D55" s="1"/>
      <c r="E55" s="1"/>
      <c r="F55" s="1"/>
      <c r="G55" s="76"/>
      <c r="H55" s="1"/>
      <c r="I55" s="1"/>
    </row>
    <row r="56" spans="1:9" x14ac:dyDescent="0.25">
      <c r="A56" s="1"/>
      <c r="B56" s="128" t="s">
        <v>150</v>
      </c>
      <c r="C56" s="129"/>
      <c r="D56" s="129"/>
      <c r="E56" s="129"/>
      <c r="F56" s="129"/>
      <c r="G56" s="136"/>
      <c r="H56" s="130"/>
      <c r="I56" s="1"/>
    </row>
    <row r="57" spans="1:9" x14ac:dyDescent="0.25">
      <c r="A57" s="1"/>
      <c r="B57" s="88" t="s">
        <v>151</v>
      </c>
      <c r="C57" s="89"/>
      <c r="D57" s="89"/>
      <c r="E57" s="89"/>
      <c r="F57" s="90"/>
      <c r="G57" s="73">
        <f>(G52-G53)*(1+'Fane 15. Nøgletal'!C15)</f>
        <v>25666311.199905504</v>
      </c>
      <c r="H57" s="14" t="s">
        <v>3</v>
      </c>
      <c r="I57" s="1"/>
    </row>
    <row r="58" spans="1:9" x14ac:dyDescent="0.25">
      <c r="A58" s="1"/>
      <c r="B58" s="88" t="s">
        <v>152</v>
      </c>
      <c r="C58" s="89"/>
      <c r="D58" s="89"/>
      <c r="E58" s="89"/>
      <c r="F58" s="90"/>
      <c r="G58" s="73">
        <f>(G57)*'Fane 15. Nøgletal'!C31</f>
        <v>513326.2239981101</v>
      </c>
      <c r="H58" s="14" t="s">
        <v>3</v>
      </c>
      <c r="I58" s="1"/>
    </row>
    <row r="59" spans="1:9" x14ac:dyDescent="0.25">
      <c r="A59" s="1"/>
      <c r="B59" s="32"/>
      <c r="C59" s="27"/>
      <c r="D59" s="27"/>
      <c r="E59" s="27"/>
      <c r="F59" s="27"/>
      <c r="G59" s="75"/>
      <c r="H59" s="19"/>
      <c r="I59" s="1"/>
    </row>
    <row r="60" spans="1:9" x14ac:dyDescent="0.25">
      <c r="A60" s="1"/>
      <c r="B60" s="1"/>
      <c r="C60" s="1"/>
      <c r="D60" s="1"/>
      <c r="E60" s="1"/>
      <c r="F60" s="1"/>
      <c r="G60" s="76"/>
      <c r="H60" s="1"/>
      <c r="I60" s="1"/>
    </row>
    <row r="61" spans="1:9" x14ac:dyDescent="0.25">
      <c r="A61" s="1"/>
      <c r="B61" s="128" t="s">
        <v>194</v>
      </c>
      <c r="C61" s="129"/>
      <c r="D61" s="129"/>
      <c r="E61" s="129"/>
      <c r="F61" s="129"/>
      <c r="G61" s="136"/>
      <c r="H61" s="130"/>
      <c r="I61" s="1"/>
    </row>
    <row r="62" spans="1:9" x14ac:dyDescent="0.25">
      <c r="A62" s="1"/>
      <c r="B62" s="88" t="s">
        <v>195</v>
      </c>
      <c r="C62" s="89"/>
      <c r="D62" s="89"/>
      <c r="E62" s="89"/>
      <c r="F62" s="90"/>
      <c r="G62" s="73">
        <f>(G57-G58)*(1+'Fane 15. Nøgletal'!C15)</f>
        <v>26048431.241049699</v>
      </c>
      <c r="H62" s="14" t="s">
        <v>3</v>
      </c>
      <c r="I62" s="1"/>
    </row>
    <row r="63" spans="1:9" x14ac:dyDescent="0.25">
      <c r="A63" s="1"/>
      <c r="B63" s="88" t="s">
        <v>196</v>
      </c>
      <c r="C63" s="89"/>
      <c r="D63" s="89"/>
      <c r="E63" s="89"/>
      <c r="F63" s="90"/>
      <c r="G63" s="73">
        <f>(G62)*'Fane 15. Nøgletal'!C31</f>
        <v>520968.62482099398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ZbHYFXb3tum7qatpDeyVgdAXYHfL+O7BySBFQ8wuhMctsIV0gIQ1kS5Tn3UhOWs+IzpaDMjetqz93UpH5CXbzQ==" saltValue="H0xqG0Ggd8zDAIUg0zU9R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8" t="s">
        <v>56</v>
      </c>
      <c r="C4" s="129"/>
      <c r="D4" s="129"/>
      <c r="E4" s="129"/>
      <c r="F4" s="129"/>
      <c r="G4" s="129"/>
      <c r="H4" s="130"/>
      <c r="I4" s="1"/>
    </row>
    <row r="5" spans="1:9" x14ac:dyDescent="0.25">
      <c r="A5" s="1"/>
      <c r="B5" s="133" t="s">
        <v>61</v>
      </c>
      <c r="C5" s="134"/>
      <c r="D5" s="134"/>
      <c r="E5" s="134"/>
      <c r="F5" s="135"/>
      <c r="G5" s="73">
        <v>54487051</v>
      </c>
      <c r="H5" s="14" t="s">
        <v>3</v>
      </c>
      <c r="I5" s="1"/>
    </row>
    <row r="6" spans="1:9" x14ac:dyDescent="0.25">
      <c r="A6" s="1"/>
      <c r="B6" s="133" t="s">
        <v>57</v>
      </c>
      <c r="C6" s="134"/>
      <c r="D6" s="134"/>
      <c r="E6" s="134"/>
      <c r="F6" s="135"/>
      <c r="G6" s="73">
        <f>G5*'Fane 15. Nøgletal'!C20</f>
        <v>495832.16410000005</v>
      </c>
      <c r="H6" s="14" t="s">
        <v>3</v>
      </c>
      <c r="I6" s="1"/>
    </row>
    <row r="7" spans="1:9" x14ac:dyDescent="0.25">
      <c r="A7" s="1"/>
      <c r="B7" s="32"/>
      <c r="C7" s="27"/>
      <c r="D7" s="27"/>
      <c r="E7" s="27"/>
      <c r="F7" s="27"/>
      <c r="G7" s="75"/>
      <c r="H7" s="19"/>
      <c r="I7" s="1"/>
    </row>
    <row r="8" spans="1:9" x14ac:dyDescent="0.25">
      <c r="A8" s="1"/>
      <c r="B8" s="1"/>
      <c r="C8" s="1"/>
      <c r="D8" s="1"/>
      <c r="E8" s="1"/>
      <c r="F8" s="1"/>
      <c r="G8" s="76"/>
      <c r="H8" s="1"/>
      <c r="I8" s="1"/>
    </row>
    <row r="9" spans="1:9" x14ac:dyDescent="0.25">
      <c r="A9" s="1"/>
      <c r="B9" s="128" t="s">
        <v>62</v>
      </c>
      <c r="C9" s="129"/>
      <c r="D9" s="129"/>
      <c r="E9" s="129"/>
      <c r="F9" s="129"/>
      <c r="G9" s="136"/>
      <c r="H9" s="130"/>
      <c r="I9" s="1"/>
    </row>
    <row r="10" spans="1:9" x14ac:dyDescent="0.25">
      <c r="A10" s="1"/>
      <c r="B10" s="133" t="s">
        <v>63</v>
      </c>
      <c r="C10" s="134"/>
      <c r="D10" s="134"/>
      <c r="E10" s="134"/>
      <c r="F10" s="135"/>
      <c r="G10" s="73">
        <f>(G5-G6)*(1+'Fane 15. Nøgletal'!C10)</f>
        <v>54936065.165528253</v>
      </c>
      <c r="H10" s="14" t="s">
        <v>3</v>
      </c>
      <c r="I10" s="1"/>
    </row>
    <row r="11" spans="1:9" x14ac:dyDescent="0.25">
      <c r="A11" s="1"/>
      <c r="B11" s="133" t="s">
        <v>122</v>
      </c>
      <c r="C11" s="134"/>
      <c r="D11" s="134"/>
      <c r="E11" s="134"/>
      <c r="F11" s="135"/>
      <c r="G11" s="73">
        <v>219629.92472418767</v>
      </c>
      <c r="H11" s="14" t="s">
        <v>3</v>
      </c>
      <c r="I11" s="1"/>
    </row>
    <row r="12" spans="1:9" x14ac:dyDescent="0.25">
      <c r="A12" s="1"/>
      <c r="B12" s="140" t="s">
        <v>64</v>
      </c>
      <c r="C12" s="141"/>
      <c r="D12" s="141"/>
      <c r="E12" s="141"/>
      <c r="F12" s="142"/>
      <c r="G12" s="74">
        <v>0</v>
      </c>
      <c r="H12" s="14" t="s">
        <v>3</v>
      </c>
      <c r="I12" s="1"/>
    </row>
    <row r="13" spans="1:9" x14ac:dyDescent="0.25">
      <c r="A13" s="1"/>
      <c r="B13" s="133" t="s">
        <v>65</v>
      </c>
      <c r="C13" s="134"/>
      <c r="D13" s="134"/>
      <c r="E13" s="134"/>
      <c r="F13" s="135"/>
      <c r="G13" s="73">
        <f>SUM(G10:G12)*'Fane 15. Nøgletal'!C21</f>
        <v>976255.8030974681</v>
      </c>
      <c r="H13" s="14" t="s">
        <v>3</v>
      </c>
      <c r="I13" s="1"/>
    </row>
    <row r="14" spans="1:9" x14ac:dyDescent="0.25">
      <c r="A14" s="1"/>
      <c r="B14" s="32"/>
      <c r="C14" s="27"/>
      <c r="D14" s="27"/>
      <c r="E14" s="27"/>
      <c r="F14" s="27"/>
      <c r="G14" s="75"/>
      <c r="H14" s="19"/>
      <c r="I14" s="1"/>
    </row>
    <row r="15" spans="1:9" x14ac:dyDescent="0.25">
      <c r="A15" s="1"/>
      <c r="B15" s="1"/>
      <c r="C15" s="1"/>
      <c r="D15" s="1"/>
      <c r="E15" s="1"/>
      <c r="F15" s="1"/>
      <c r="G15" s="76"/>
      <c r="H15" s="1"/>
      <c r="I15" s="1"/>
    </row>
    <row r="16" spans="1:9" x14ac:dyDescent="0.25">
      <c r="A16" s="1"/>
      <c r="B16" s="128" t="s">
        <v>66</v>
      </c>
      <c r="C16" s="129"/>
      <c r="D16" s="129"/>
      <c r="E16" s="129"/>
      <c r="F16" s="129"/>
      <c r="G16" s="136"/>
      <c r="H16" s="130"/>
      <c r="I16" s="1"/>
    </row>
    <row r="17" spans="1:9" x14ac:dyDescent="0.25">
      <c r="A17" s="1"/>
      <c r="B17" s="133" t="s">
        <v>67</v>
      </c>
      <c r="C17" s="134"/>
      <c r="D17" s="134"/>
      <c r="E17" s="134"/>
      <c r="F17" s="135"/>
      <c r="G17" s="73">
        <f>(SUM(G10:G12)-G13)*(1+'Fane 15. Nøgletal'!C10)</f>
        <v>55127579.474680178</v>
      </c>
      <c r="H17" s="14" t="s">
        <v>3</v>
      </c>
      <c r="I17" s="1"/>
    </row>
    <row r="18" spans="1:9" x14ac:dyDescent="0.25">
      <c r="A18" s="1"/>
      <c r="B18" s="140" t="s">
        <v>68</v>
      </c>
      <c r="C18" s="141"/>
      <c r="D18" s="141"/>
      <c r="E18" s="141"/>
      <c r="F18" s="142"/>
      <c r="G18" s="73">
        <v>0</v>
      </c>
      <c r="H18" s="14" t="s">
        <v>3</v>
      </c>
      <c r="I18" s="1"/>
    </row>
    <row r="19" spans="1:9" x14ac:dyDescent="0.25">
      <c r="A19" s="1"/>
      <c r="B19" s="133" t="s">
        <v>69</v>
      </c>
      <c r="C19" s="134"/>
      <c r="D19" s="134"/>
      <c r="E19" s="134"/>
      <c r="F19" s="135"/>
      <c r="G19" s="73">
        <f>G17*'Fane 15. Nøgletal'!C21+G18*'Fane 15. Nøgletal'!C22</f>
        <v>975758.15670183918</v>
      </c>
      <c r="H19" s="14" t="s">
        <v>3</v>
      </c>
      <c r="I19" s="1"/>
    </row>
    <row r="20" spans="1:9" x14ac:dyDescent="0.25">
      <c r="A20" s="1"/>
      <c r="B20" s="32"/>
      <c r="C20" s="27"/>
      <c r="D20" s="27"/>
      <c r="E20" s="27"/>
      <c r="F20" s="27"/>
      <c r="G20" s="75"/>
      <c r="H20" s="19"/>
      <c r="I20" s="1"/>
    </row>
    <row r="21" spans="1:9" x14ac:dyDescent="0.25">
      <c r="A21" s="1"/>
      <c r="B21" s="1"/>
      <c r="C21" s="1"/>
      <c r="D21" s="1"/>
      <c r="E21" s="1"/>
      <c r="F21" s="1"/>
      <c r="G21" s="76"/>
      <c r="H21" s="1"/>
      <c r="I21" s="1"/>
    </row>
    <row r="22" spans="1:9" x14ac:dyDescent="0.25">
      <c r="A22" s="1"/>
      <c r="B22" s="128" t="s">
        <v>70</v>
      </c>
      <c r="C22" s="129"/>
      <c r="D22" s="129"/>
      <c r="E22" s="129"/>
      <c r="F22" s="129"/>
      <c r="G22" s="136"/>
      <c r="H22" s="130"/>
      <c r="I22" s="1"/>
    </row>
    <row r="23" spans="1:9" x14ac:dyDescent="0.25">
      <c r="A23" s="1"/>
      <c r="B23" s="133" t="s">
        <v>71</v>
      </c>
      <c r="C23" s="134"/>
      <c r="D23" s="134"/>
      <c r="E23" s="134"/>
      <c r="F23" s="135"/>
      <c r="G23" s="73">
        <f>(G17+G18-G19)*(1+'Fane 15. Nøgletal'!C12)</f>
        <v>55218612.19794251</v>
      </c>
      <c r="H23" s="14" t="s">
        <v>3</v>
      </c>
      <c r="I23" s="1"/>
    </row>
    <row r="24" spans="1:9" x14ac:dyDescent="0.25">
      <c r="A24" s="1"/>
      <c r="B24" s="140" t="s">
        <v>72</v>
      </c>
      <c r="C24" s="141"/>
      <c r="D24" s="141"/>
      <c r="E24" s="141"/>
      <c r="F24" s="142"/>
      <c r="G24" s="73">
        <v>129866.2300740262</v>
      </c>
      <c r="H24" s="14" t="s">
        <v>3</v>
      </c>
      <c r="I24" s="1"/>
    </row>
    <row r="25" spans="1:9" x14ac:dyDescent="0.25">
      <c r="A25" s="1"/>
      <c r="B25" s="133" t="s">
        <v>73</v>
      </c>
      <c r="C25" s="134"/>
      <c r="D25" s="134"/>
      <c r="E25" s="134"/>
      <c r="F25" s="135"/>
      <c r="G25" s="73">
        <f>(G23+G24)*'Fane 15. Nøgletal'!C23</f>
        <v>1571896.7873556698</v>
      </c>
      <c r="H25" s="14" t="s">
        <v>3</v>
      </c>
      <c r="I25" s="1"/>
    </row>
    <row r="26" spans="1:9" x14ac:dyDescent="0.25">
      <c r="A26" s="1"/>
      <c r="B26" s="32"/>
      <c r="C26" s="27"/>
      <c r="D26" s="27"/>
      <c r="E26" s="27"/>
      <c r="F26" s="27"/>
      <c r="G26" s="75"/>
      <c r="H26" s="19"/>
      <c r="I26" s="1"/>
    </row>
    <row r="27" spans="1:9" x14ac:dyDescent="0.25">
      <c r="A27" s="1"/>
      <c r="B27" s="1"/>
      <c r="C27" s="1"/>
      <c r="D27" s="1"/>
      <c r="E27" s="1"/>
      <c r="F27" s="1"/>
      <c r="G27" s="76"/>
      <c r="H27" s="1"/>
      <c r="I27" s="1"/>
    </row>
    <row r="28" spans="1:9" x14ac:dyDescent="0.25">
      <c r="A28" s="1"/>
      <c r="B28" s="128" t="s">
        <v>74</v>
      </c>
      <c r="C28" s="129"/>
      <c r="D28" s="129"/>
      <c r="E28" s="129"/>
      <c r="F28" s="129"/>
      <c r="G28" s="136"/>
      <c r="H28" s="130"/>
      <c r="I28" s="1"/>
    </row>
    <row r="29" spans="1:9" x14ac:dyDescent="0.25">
      <c r="A29" s="1"/>
      <c r="B29" s="133" t="s">
        <v>75</v>
      </c>
      <c r="C29" s="134"/>
      <c r="D29" s="134"/>
      <c r="E29" s="134"/>
      <c r="F29" s="135"/>
      <c r="G29" s="73">
        <f>(G23+G24-G25)*(1+'Fane 15. Nøgletal'!C12)</f>
        <v>54835980.29898189</v>
      </c>
      <c r="H29" s="14" t="s">
        <v>3</v>
      </c>
      <c r="I29" s="1"/>
    </row>
    <row r="30" spans="1:9" x14ac:dyDescent="0.25">
      <c r="A30" s="1"/>
      <c r="B30" s="133" t="s">
        <v>139</v>
      </c>
      <c r="C30" s="134"/>
      <c r="D30" s="134"/>
      <c r="E30" s="134"/>
      <c r="F30" s="135"/>
      <c r="G30" s="73">
        <v>1289034.07394832</v>
      </c>
      <c r="H30" s="14" t="s">
        <v>3</v>
      </c>
      <c r="I30" s="1"/>
    </row>
    <row r="31" spans="1:9" x14ac:dyDescent="0.25">
      <c r="A31" s="1"/>
      <c r="B31" s="133" t="s">
        <v>76</v>
      </c>
      <c r="C31" s="134"/>
      <c r="D31" s="134"/>
      <c r="E31" s="134"/>
      <c r="F31" s="135"/>
      <c r="G31" s="73">
        <f>G29*'Fane 15. Nøgletal'!C23+G30*'Fane 15. Nøgletal'!C24</f>
        <v>1592790.2775246645</v>
      </c>
      <c r="H31" s="14" t="s">
        <v>3</v>
      </c>
      <c r="I31" s="1"/>
    </row>
    <row r="32" spans="1:9" x14ac:dyDescent="0.25">
      <c r="A32" s="1"/>
      <c r="B32" s="32"/>
      <c r="C32" s="27"/>
      <c r="D32" s="27"/>
      <c r="E32" s="27"/>
      <c r="F32" s="27"/>
      <c r="G32" s="75"/>
      <c r="H32" s="19"/>
      <c r="I32" s="1"/>
    </row>
    <row r="33" spans="1:9" x14ac:dyDescent="0.25">
      <c r="A33" s="1"/>
      <c r="B33" s="1"/>
      <c r="C33" s="1"/>
      <c r="D33" s="1"/>
      <c r="E33" s="1"/>
      <c r="F33" s="1"/>
      <c r="G33" s="76"/>
      <c r="H33" s="1"/>
      <c r="I33" s="1"/>
    </row>
    <row r="34" spans="1:9" x14ac:dyDescent="0.25">
      <c r="A34" s="1"/>
      <c r="B34" s="128" t="s">
        <v>165</v>
      </c>
      <c r="C34" s="129"/>
      <c r="D34" s="129"/>
      <c r="E34" s="129"/>
      <c r="F34" s="129"/>
      <c r="G34" s="136"/>
      <c r="H34" s="130"/>
      <c r="I34" s="1"/>
    </row>
    <row r="35" spans="1:9" x14ac:dyDescent="0.25">
      <c r="A35" s="1"/>
      <c r="B35" s="133" t="s">
        <v>78</v>
      </c>
      <c r="C35" s="134"/>
      <c r="D35" s="134"/>
      <c r="E35" s="134"/>
      <c r="F35" s="135"/>
      <c r="G35" s="73">
        <f>(G29+G30-G31)*(1+'Fane 15. Nøgletal'!C14)</f>
        <v>54712180.434920393</v>
      </c>
      <c r="H35" s="14" t="s">
        <v>3</v>
      </c>
      <c r="I35" s="1"/>
    </row>
    <row r="36" spans="1:9" x14ac:dyDescent="0.25">
      <c r="A36" s="1"/>
      <c r="B36" s="133" t="s">
        <v>167</v>
      </c>
      <c r="C36" s="134"/>
      <c r="D36" s="134"/>
      <c r="E36" s="134"/>
      <c r="F36" s="135"/>
      <c r="G36" s="73">
        <v>0</v>
      </c>
      <c r="H36" s="14" t="s">
        <v>3</v>
      </c>
      <c r="I36" s="1"/>
    </row>
    <row r="37" spans="1:9" x14ac:dyDescent="0.25">
      <c r="A37" s="1"/>
      <c r="B37" s="133" t="s">
        <v>166</v>
      </c>
      <c r="C37" s="134"/>
      <c r="D37" s="134"/>
      <c r="E37" s="134"/>
      <c r="F37" s="135"/>
      <c r="G37" s="73">
        <f>(G35+G36)*'Fane 15. Nøgletal'!C25</f>
        <v>809740.27043682185</v>
      </c>
      <c r="H37" s="14" t="s">
        <v>3</v>
      </c>
      <c r="I37" s="1"/>
    </row>
    <row r="38" spans="1:9" x14ac:dyDescent="0.25">
      <c r="A38" s="1"/>
      <c r="B38" s="32"/>
      <c r="C38" s="27"/>
      <c r="D38" s="27"/>
      <c r="E38" s="27"/>
      <c r="F38" s="27"/>
      <c r="G38" s="75"/>
      <c r="H38" s="19"/>
      <c r="I38" s="1"/>
    </row>
    <row r="39" spans="1:9" x14ac:dyDescent="0.25">
      <c r="A39" s="1"/>
      <c r="B39" s="1"/>
      <c r="C39" s="1"/>
      <c r="D39" s="1"/>
      <c r="E39" s="1"/>
      <c r="F39" s="1"/>
      <c r="G39" s="76"/>
      <c r="H39" s="1"/>
      <c r="I39" s="1"/>
    </row>
    <row r="40" spans="1:9" x14ac:dyDescent="0.25">
      <c r="A40" s="1"/>
      <c r="B40" s="128" t="s">
        <v>223</v>
      </c>
      <c r="C40" s="129"/>
      <c r="D40" s="129"/>
      <c r="E40" s="129"/>
      <c r="F40" s="129"/>
      <c r="G40" s="136"/>
      <c r="H40" s="130"/>
      <c r="I40" s="1"/>
    </row>
    <row r="41" spans="1:9" x14ac:dyDescent="0.25">
      <c r="A41" s="1"/>
      <c r="B41" s="133" t="s">
        <v>77</v>
      </c>
      <c r="C41" s="134"/>
      <c r="D41" s="134"/>
      <c r="E41" s="134"/>
      <c r="F41" s="135"/>
      <c r="G41" s="73">
        <f>(G35+G36-G37)*(1+'Fane 15. Nøgletal'!C14)</f>
        <v>54080318.217026368</v>
      </c>
      <c r="H41" s="14" t="s">
        <v>3</v>
      </c>
      <c r="I41" s="1"/>
    </row>
    <row r="42" spans="1:9" x14ac:dyDescent="0.25">
      <c r="A42" s="1"/>
      <c r="B42" s="43" t="s">
        <v>231</v>
      </c>
      <c r="C42" s="89"/>
      <c r="D42" s="89"/>
      <c r="E42" s="89"/>
      <c r="F42" s="90"/>
      <c r="G42" s="77">
        <f>('Fane 2.1. Økonomisk ramme 2023'!C11+'Fane 2.1. Økonomisk ramme 2023'!C13+'Fane 2.1. Økonomisk ramme 2023'!C15)*(1+'Fane 15. Nøgletal'!C15)</f>
        <v>0</v>
      </c>
      <c r="H42" s="14" t="s">
        <v>3</v>
      </c>
      <c r="I42" s="1"/>
    </row>
    <row r="43" spans="1:9" x14ac:dyDescent="0.25">
      <c r="A43" s="1"/>
      <c r="B43" s="133" t="s">
        <v>168</v>
      </c>
      <c r="C43" s="134"/>
      <c r="D43" s="134"/>
      <c r="E43" s="134"/>
      <c r="F43" s="135"/>
      <c r="G43" s="73">
        <f>(G41)*'Fane 15. Nøgletal'!C25+G42*'Fane 15. Nøgletal'!C26</f>
        <v>800388.70961199026</v>
      </c>
      <c r="H43" s="14" t="s">
        <v>3</v>
      </c>
      <c r="I43" s="1"/>
    </row>
    <row r="44" spans="1:9" x14ac:dyDescent="0.25">
      <c r="A44" s="1"/>
      <c r="B44" s="32"/>
      <c r="C44" s="27"/>
      <c r="D44" s="27"/>
      <c r="E44" s="27"/>
      <c r="F44" s="27"/>
      <c r="G44" s="75"/>
      <c r="H44" s="19"/>
      <c r="I44" s="1"/>
    </row>
    <row r="45" spans="1:9" x14ac:dyDescent="0.25">
      <c r="A45" s="1"/>
      <c r="B45" s="1"/>
      <c r="C45" s="1"/>
      <c r="D45" s="1"/>
      <c r="E45" s="1"/>
      <c r="F45" s="1"/>
      <c r="G45" s="76"/>
      <c r="H45" s="1"/>
      <c r="I45" s="1"/>
    </row>
    <row r="46" spans="1:9" x14ac:dyDescent="0.25">
      <c r="A46" s="1"/>
      <c r="B46" s="1"/>
      <c r="C46" s="1"/>
      <c r="D46" s="1"/>
      <c r="E46" s="1"/>
      <c r="F46" s="1"/>
      <c r="G46" s="76"/>
      <c r="H46" s="1"/>
      <c r="I46" s="1"/>
    </row>
    <row r="47" spans="1:9" x14ac:dyDescent="0.25">
      <c r="A47" s="1"/>
      <c r="B47" s="1"/>
      <c r="C47" s="1"/>
      <c r="D47" s="1"/>
      <c r="E47" s="1"/>
      <c r="F47" s="1"/>
      <c r="G47" s="76"/>
      <c r="H47" s="1"/>
      <c r="I47" s="1"/>
    </row>
    <row r="48" spans="1:9" x14ac:dyDescent="0.25">
      <c r="A48" s="1"/>
      <c r="B48" s="1"/>
      <c r="C48" s="1"/>
      <c r="D48" s="1"/>
      <c r="E48" s="1"/>
      <c r="F48" s="1"/>
      <c r="G48" s="76"/>
      <c r="H48" s="1"/>
      <c r="I48" s="1"/>
    </row>
    <row r="49" spans="1:9" x14ac:dyDescent="0.25">
      <c r="A49" s="1"/>
      <c r="B49" s="1"/>
      <c r="C49" s="1"/>
      <c r="D49" s="1"/>
      <c r="E49" s="1"/>
      <c r="F49" s="1"/>
      <c r="G49" s="76"/>
      <c r="H49" s="1"/>
      <c r="I49" s="1"/>
    </row>
    <row r="50" spans="1:9" x14ac:dyDescent="0.25">
      <c r="A50" s="1"/>
      <c r="B50" s="1"/>
      <c r="C50" s="1"/>
      <c r="D50" s="1"/>
      <c r="E50" s="1"/>
      <c r="F50" s="1"/>
      <c r="G50" s="76"/>
      <c r="H50" s="1"/>
      <c r="I50" s="1"/>
    </row>
    <row r="51" spans="1:9" x14ac:dyDescent="0.25">
      <c r="A51" s="1"/>
      <c r="B51" s="1"/>
      <c r="C51" s="1"/>
      <c r="D51" s="1"/>
      <c r="E51" s="1"/>
      <c r="F51" s="1"/>
      <c r="G51" s="76"/>
      <c r="H51" s="1"/>
      <c r="I51" s="1"/>
    </row>
    <row r="52" spans="1:9" x14ac:dyDescent="0.25">
      <c r="A52" s="1"/>
      <c r="B52" s="128" t="s">
        <v>244</v>
      </c>
      <c r="C52" s="129"/>
      <c r="D52" s="129"/>
      <c r="E52" s="129"/>
      <c r="F52" s="129"/>
      <c r="G52" s="136"/>
      <c r="H52" s="130"/>
      <c r="I52" s="1"/>
    </row>
    <row r="53" spans="1:9" x14ac:dyDescent="0.25">
      <c r="A53" s="1"/>
      <c r="B53" s="133" t="s">
        <v>140</v>
      </c>
      <c r="C53" s="134"/>
      <c r="D53" s="134"/>
      <c r="E53" s="134"/>
      <c r="F53" s="135"/>
      <c r="G53" s="73">
        <f>(G41+G42-G43)*(1+'Fane 15. Nøgletal'!C15)</f>
        <v>55176694.997878335</v>
      </c>
      <c r="H53" s="14" t="s">
        <v>3</v>
      </c>
      <c r="I53" s="1"/>
    </row>
    <row r="54" spans="1:9" x14ac:dyDescent="0.25">
      <c r="A54" s="1"/>
      <c r="B54" s="133" t="s">
        <v>141</v>
      </c>
      <c r="C54" s="134"/>
      <c r="D54" s="134"/>
      <c r="E54" s="134"/>
      <c r="F54" s="135"/>
      <c r="G54" s="73">
        <f>(G53)*'Fane 15. Nøgletal'!C26</f>
        <v>0</v>
      </c>
      <c r="H54" s="14" t="s">
        <v>3</v>
      </c>
      <c r="I54" s="1"/>
    </row>
    <row r="55" spans="1:9" x14ac:dyDescent="0.25">
      <c r="A55" s="1"/>
      <c r="B55" s="32"/>
      <c r="C55" s="27"/>
      <c r="D55" s="27"/>
      <c r="E55" s="27"/>
      <c r="F55" s="27"/>
      <c r="G55" s="75"/>
      <c r="H55" s="19"/>
      <c r="I55" s="1"/>
    </row>
    <row r="56" spans="1:9" x14ac:dyDescent="0.25">
      <c r="A56" s="1"/>
      <c r="B56" s="1"/>
      <c r="C56" s="1"/>
      <c r="D56" s="1"/>
      <c r="E56" s="1"/>
      <c r="F56" s="1"/>
      <c r="G56" s="76"/>
      <c r="H56" s="1"/>
      <c r="I56" s="1"/>
    </row>
    <row r="57" spans="1:9" x14ac:dyDescent="0.25">
      <c r="A57" s="1"/>
      <c r="B57" s="128" t="s">
        <v>153</v>
      </c>
      <c r="C57" s="129"/>
      <c r="D57" s="129"/>
      <c r="E57" s="129"/>
      <c r="F57" s="129"/>
      <c r="G57" s="136"/>
      <c r="H57" s="130"/>
      <c r="I57" s="1"/>
    </row>
    <row r="58" spans="1:9" x14ac:dyDescent="0.25">
      <c r="A58" s="1"/>
      <c r="B58" s="133" t="s">
        <v>173</v>
      </c>
      <c r="C58" s="134"/>
      <c r="D58" s="134"/>
      <c r="E58" s="134"/>
      <c r="F58" s="135"/>
      <c r="G58" s="73">
        <f>(G53-G54)*(1+'Fane 15. Nøgletal'!C15)</f>
        <v>57140985.339802809</v>
      </c>
      <c r="H58" s="14" t="s">
        <v>3</v>
      </c>
      <c r="I58" s="1"/>
    </row>
    <row r="59" spans="1:9" x14ac:dyDescent="0.25">
      <c r="A59" s="1"/>
      <c r="B59" s="133" t="s">
        <v>174</v>
      </c>
      <c r="C59" s="134"/>
      <c r="D59" s="134"/>
      <c r="E59" s="134"/>
      <c r="F59" s="135"/>
      <c r="G59" s="73">
        <f>(G58)*'Fane 15. Nøgletal'!C26</f>
        <v>0</v>
      </c>
      <c r="H59" s="14" t="s">
        <v>3</v>
      </c>
      <c r="I59" s="1"/>
    </row>
    <row r="60" spans="1:9" x14ac:dyDescent="0.25">
      <c r="A60" s="1"/>
      <c r="B60" s="32"/>
      <c r="C60" s="27"/>
      <c r="D60" s="27"/>
      <c r="E60" s="27"/>
      <c r="F60" s="27"/>
      <c r="G60" s="75"/>
      <c r="H60" s="19"/>
      <c r="I60" s="1"/>
    </row>
    <row r="61" spans="1:9" x14ac:dyDescent="0.25">
      <c r="A61" s="1"/>
      <c r="B61" s="1"/>
      <c r="C61" s="1"/>
      <c r="D61" s="1"/>
      <c r="E61" s="1"/>
      <c r="F61" s="1"/>
      <c r="G61" s="76"/>
      <c r="H61" s="1"/>
      <c r="I61" s="1"/>
    </row>
    <row r="62" spans="1:9" x14ac:dyDescent="0.25">
      <c r="A62" s="1"/>
      <c r="B62" s="128" t="s">
        <v>197</v>
      </c>
      <c r="C62" s="129"/>
      <c r="D62" s="129"/>
      <c r="E62" s="129"/>
      <c r="F62" s="129"/>
      <c r="G62" s="136"/>
      <c r="H62" s="130"/>
      <c r="I62" s="1"/>
    </row>
    <row r="63" spans="1:9" x14ac:dyDescent="0.25">
      <c r="A63" s="1"/>
      <c r="B63" s="133" t="s">
        <v>198</v>
      </c>
      <c r="C63" s="134"/>
      <c r="D63" s="134"/>
      <c r="E63" s="134"/>
      <c r="F63" s="135"/>
      <c r="G63" s="73">
        <f>(G58-G59)*(1+'Fane 15. Nøgletal'!C15)</f>
        <v>59175204.417899795</v>
      </c>
      <c r="H63" s="14" t="s">
        <v>3</v>
      </c>
      <c r="I63" s="1"/>
    </row>
    <row r="64" spans="1:9" x14ac:dyDescent="0.25">
      <c r="A64" s="1"/>
      <c r="B64" s="133" t="s">
        <v>199</v>
      </c>
      <c r="C64" s="134"/>
      <c r="D64" s="134"/>
      <c r="E64" s="134"/>
      <c r="F64" s="135"/>
      <c r="G64" s="73">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26pn4npYJvigfNKgvwzbYHEkQW7FnQ84Oe52n5Uc7PN6LVtpa5kfubeWFFiECUpRnY+AjUjO8VVXFydxMdH7iQ==" saltValue="pYnqhd4OYRfssfuoap7lp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88</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8" t="s">
        <v>10</v>
      </c>
      <c r="C8" s="129"/>
      <c r="D8" s="129"/>
      <c r="E8" s="129"/>
      <c r="F8" s="129"/>
      <c r="G8" s="129"/>
      <c r="H8" s="1"/>
    </row>
    <row r="9" spans="1:8" x14ac:dyDescent="0.25">
      <c r="A9" s="1"/>
      <c r="B9" s="133" t="s">
        <v>154</v>
      </c>
      <c r="C9" s="134"/>
      <c r="D9" s="134"/>
      <c r="E9" s="134"/>
      <c r="F9" s="135"/>
      <c r="G9" s="35">
        <v>9.8845864313645559E-3</v>
      </c>
      <c r="H9" s="1"/>
    </row>
    <row r="10" spans="1:8" x14ac:dyDescent="0.25">
      <c r="A10" s="1"/>
      <c r="B10" s="32"/>
      <c r="C10" s="27"/>
      <c r="D10" s="27"/>
      <c r="E10" s="27"/>
      <c r="F10" s="27"/>
      <c r="G10" s="27"/>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ClBn/hLsKJ0DekvwnODADIYkSrNg7a+2hr2hgTrRGl5xNldxn1EzqJwosx3IvoqaSjionN7LfILzoGT/oT0/5w==" saltValue="zCL+eZt5aLVFLVfPbretj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2023-11-10T22:26:39Z</dcterms:modified>
</cp:coreProperties>
</file>