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DIN Forsyning Spildevand AS (S01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36" i="36" l="1"/>
  <c r="G5" i="36" l="1"/>
  <c r="G5" i="30"/>
  <c r="E16" i="40" l="1"/>
  <c r="E12" i="40"/>
  <c r="E26" i="32" l="1"/>
  <c r="E32" i="32" l="1"/>
  <c r="E34" i="32" s="1"/>
  <c r="C15" i="19"/>
  <c r="C26" i="15" l="1"/>
  <c r="C30" i="2"/>
  <c r="E28" i="20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7" i="39"/>
  <c r="C37" i="39"/>
  <c r="C38" i="39" s="1"/>
  <c r="E29" i="39"/>
  <c r="C29" i="39"/>
  <c r="C30" i="39" s="1"/>
  <c r="E21" i="39"/>
  <c r="C21" i="39"/>
  <c r="E13" i="39"/>
  <c r="C13" i="39"/>
  <c r="C11" i="23" l="1"/>
  <c r="C10" i="23"/>
  <c r="C11" i="22"/>
  <c r="C10" i="22"/>
  <c r="E39" i="39"/>
  <c r="E38" i="39"/>
  <c r="E30" i="39"/>
  <c r="E31" i="39"/>
  <c r="E23" i="39"/>
  <c r="E22" i="39"/>
  <c r="C22" i="39"/>
  <c r="C23" i="39"/>
  <c r="E15" i="39"/>
  <c r="E14" i="39"/>
  <c r="C15" i="39"/>
  <c r="C14" i="39"/>
  <c r="C39" i="39"/>
  <c r="C40" i="39" s="1"/>
  <c r="C31" i="39"/>
  <c r="C32" i="39" s="1"/>
  <c r="E40" i="39" l="1"/>
  <c r="C23" i="23" s="1"/>
  <c r="E24" i="39"/>
  <c r="C23" i="15" s="1"/>
  <c r="E32" i="39"/>
  <c r="C23" i="22" s="1"/>
  <c r="C16" i="39"/>
  <c r="C26" i="2" s="1"/>
  <c r="E16" i="39"/>
  <c r="C27" i="2" s="1"/>
  <c r="C24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4" i="37" s="1"/>
  <c r="C15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4" i="37" s="1"/>
  <c r="E15" i="37" s="1"/>
  <c r="C11" i="2" l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<sst xmlns="http://schemas.openxmlformats.org/spreadsheetml/2006/main" count="720" uniqueCount="289">
  <si>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</si>
  <si>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</si>
  <si>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</si>
  <si>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</si>
  <si>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</si>
  <si>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</si>
  <si>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</si>
  <si>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</si>
  <si>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</si>
  <si>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</si>
  <si>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</si>
  <si>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</si>
  <si>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</si>
  <si>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</si>
  <si>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</si>
  <si>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</si>
  <si>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</si>
  <si>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</si>
  <si>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</si>
  <si>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</si>
  <si>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</si>
  <si>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</si>
  <si>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</si>
  <si>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</si>
  <si>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</si>
  <si>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</si>
  <si>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</si>
  <si>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</si>
  <si>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</si>
  <si>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</si>
  <si>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</si>
  <si>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</si>
  <si>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</si>
  <si>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</si>
  <si>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</si>
  <si>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</si>
  <si>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</si>
  <si>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</si>
  <si>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</si>
  <si>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</si>
  <si>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</si>
  <si>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</si>
  <si>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</si>
  <si>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</si>
  <si>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</si>
  <si>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</si>
  <si>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</si>
  <si>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</si>
  <si>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</si>
  <si>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</si>
  <si>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</si>
  <si>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</si>
  <si>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</si>
  <si>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</si>
  <si>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</si>
  <si>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</si>
  <si>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</si>
  <si>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</si>
  <si>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</si>
  <si>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</si>
  <si>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</si>
  <si>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</si>
  <si>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</si>
  <si>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</si>
  <si>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</si>
  <si>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</si>
  <si>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</si>
  <si>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</si>
  <si>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</si>
  <si>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</si>
  <si>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</si>
  <si>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</si>
  <si>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</si>
  <si>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</si>
  <si>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</si>
  <si>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</si>
  <si>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</si>
  <si>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</si>
  <si>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</si>
  <si>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</si>
  <si>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</si>
  <si>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</si>
  <si>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</si>
  <si>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</si>
  <si>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</si>
  <si>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</si>
  <si>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</si>
  <si>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</si>
  <si>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</si>
  <si>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</si>
  <si>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</si>
  <si>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</si>
  <si>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</si>
  <si>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</si>
  <si>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</si>
  <si>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</si>
  <si>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</si>
  <si>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</si>
  <si>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</si>
  <si>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</si>
  <si>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</si>
  <si>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</si>
  <si>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</si>
  <si>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</si>
  <si>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</si>
  <si>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</si>
  <si>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</si>
  <si>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</si>
  <si>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</si>
  <si>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</si>
  <si>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</si>
  <si>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</si>
  <si>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</si>
  <si>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</si>
  <si>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</si>
  <si>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</si>
  <si>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</si>
  <si>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</si>
  <si>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</si>
  <si>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</si>
  <si>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</si>
  <si>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</si>
  <si>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</si>
  <si>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</si>
  <si>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</si>
  <si>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</si>
  <si>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</si>
  <si>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</si>
  <si>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</si>
  <si>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</si>
  <si>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</si>
  <si>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</si>
  <si>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</si>
  <si>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</si>
  <si>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</si>
  <si>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</si>
  <si>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</si>
  <si>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</si>
  <si>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</si>
  <si>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</si>
  <si>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</si>
  <si>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</si>
  <si>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</si>
  <si>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</si>
  <si>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</si>
  <si>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</si>
  <si>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</si>
  <si>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</si>
  <si>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</si>
  <si>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</si>
  <si>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</si>
  <si>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</si>
  <si>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</si>
  <si>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</si>
  <si>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</si>
  <si>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</si>
  <si>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</si>
  <si>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</si>
  <si>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</si>
  <si>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</si>
  <si>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</si>
  <si>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</si>
  <si>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</si>
  <si>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</si>
  <si>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</si>
  <si>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</si>
  <si>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</si>
  <si>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</si>
  <si>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</si>
  <si>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</si>
  <si>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</si>
  <si>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</si>
  <si>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</si>
  <si>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</si>
  <si>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</si>
  <si>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</si>
  <si>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</si>
  <si>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</si>
  <si>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</si>
  <si>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</si>
  <si>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</si>
  <si>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</si>
  <si>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</si>
  <si>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</si>
  <si>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</si>
  <si>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</si>
  <si>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</si>
  <si>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</si>
  <si>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</si>
  <si>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</si>
  <si>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</si>
  <si>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</si>
  <si>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</si>
  <si>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</si>
  <si>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</si>
  <si>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</si>
  <si>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</si>
  <si>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</si>
  <si>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</si>
  <si>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</si>
  <si>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</si>
  <si>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</si>
  <si>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</si>
  <si>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</si>
  <si>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</si>
  <si>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</si>
  <si>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</si>
  <si>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</si>
  <si>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</si>
  <si>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</si>
  <si>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</si>
  <si>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</si>
  <si>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</si>
  <si>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</si>
  <si>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</si>
  <si>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</si>
  <si>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</si>
  <si>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</si>
  <si>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</si>
  <si>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</si>
  <si>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</si>
  <si>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</si>
  <si>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</si>
  <si>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</si>
  <si>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</si>
  <si>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</si>
  <si>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</si>
  <si>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</si>
  <si>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</si>
  <si>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</si>
  <si>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</si>
  <si>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</si>
  <si>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</si>
  <si>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</si>
  <si>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</si>
  <si>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</si>
  <si>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</si>
  <si>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</si>
  <si>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</si>
  <si>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</si>
  <si>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</si>
  <si>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</si>
  <si>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</si>
  <si>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</si>
  <si>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</si>
  <si>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</si>
  <si>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</si>
  <si>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</si>
  <si>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</si>
  <si>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</si>
  <si>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</si>
  <si>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</si>
  <si>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</si>
  <si>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</si>
  <si>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</si>
  <si>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</si>
  <si>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</si>
  <si>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</si>
  <si>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</si>
  <si>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</si>
  <si>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</si>
  <si>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</si>
  <si>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</si>
  <si>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</si>
  <si>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</si>
  <si>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</si>
  <si>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</si>
  <si>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</si>
  <si>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</si>
  <si>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</si>
  <si>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</si>
  <si>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</si>
  <si>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</si>
  <si>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</si>
  <si>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</si>
  <si>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</si>
  <si>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</si>
  <si>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</si>
  <si>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</si>
  <si>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</si>
  <si>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Separatkloakering, serviceniveau mm.</t>
  </si>
  <si>
    <t>Oprensning af regnvandsbassiner</t>
  </si>
  <si>
    <t>Byggemodning m.m.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</si>
  <si>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</si>
  <si>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</si>
  <si>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</si>
  <si>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Ingen engangstillæg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</si>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</sst>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7" t="s">
        <v>287</v>
      </c>
      <c r="E8" s="87"/>
      <c r="F8" s="87"/>
      <c r="G8" s="8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6" t="s">
        <v>5</v>
      </c>
      <c r="E11" s="86"/>
      <c r="F11" s="86"/>
      <c r="G11" s="8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245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17</v>
      </c>
      <c r="D14" s="79" t="s">
        <v>246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37</v>
      </c>
      <c r="D15" s="79" t="s">
        <v>160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38</v>
      </c>
      <c r="D16" s="79" t="s">
        <v>247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144</v>
      </c>
      <c r="D17" s="79" t="s">
        <v>248</v>
      </c>
      <c r="E17" s="80"/>
      <c r="F17" s="80"/>
      <c r="G17" s="81"/>
      <c r="H17" s="1"/>
      <c r="I17" s="1"/>
    </row>
    <row r="18" spans="1:9" x14ac:dyDescent="0.25">
      <c r="A18" s="1"/>
      <c r="B18" s="1"/>
      <c r="C18" s="6" t="s">
        <v>124</v>
      </c>
      <c r="D18" s="76" t="s">
        <v>110</v>
      </c>
      <c r="E18" s="77"/>
      <c r="F18" s="77"/>
      <c r="G18" s="78"/>
      <c r="H18" s="1"/>
      <c r="I18" s="1"/>
    </row>
    <row r="19" spans="1:9" x14ac:dyDescent="0.25">
      <c r="A19" s="1"/>
      <c r="B19" s="1"/>
      <c r="C19" s="6" t="s">
        <v>125</v>
      </c>
      <c r="D19" s="76" t="s">
        <v>111</v>
      </c>
      <c r="E19" s="77"/>
      <c r="F19" s="77"/>
      <c r="G19" s="78"/>
      <c r="H19" s="1"/>
      <c r="I19" s="1"/>
    </row>
    <row r="20" spans="1:9" x14ac:dyDescent="0.25">
      <c r="A20" s="1"/>
      <c r="B20" s="1"/>
      <c r="C20" s="6" t="s">
        <v>7</v>
      </c>
      <c r="D20" s="76" t="s">
        <v>10</v>
      </c>
      <c r="E20" s="77"/>
      <c r="F20" s="77"/>
      <c r="G20" s="78"/>
      <c r="H20" s="1"/>
      <c r="I20" s="1"/>
    </row>
    <row r="21" spans="1:9" x14ac:dyDescent="0.25">
      <c r="A21" s="1"/>
      <c r="B21" s="1"/>
      <c r="C21" s="6" t="s">
        <v>126</v>
      </c>
      <c r="D21" s="83" t="s">
        <v>13</v>
      </c>
      <c r="E21" s="84"/>
      <c r="F21" s="84"/>
      <c r="G21" s="85"/>
      <c r="H21" s="1"/>
      <c r="I21" s="1"/>
    </row>
    <row r="22" spans="1:9" x14ac:dyDescent="0.25">
      <c r="A22" s="1"/>
      <c r="B22" s="1"/>
      <c r="C22" s="6" t="s">
        <v>91</v>
      </c>
      <c r="D22" s="70" t="s">
        <v>249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195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9</v>
      </c>
      <c r="D24" s="70" t="s">
        <v>39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127</v>
      </c>
      <c r="D25" s="70" t="s">
        <v>92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128</v>
      </c>
      <c r="D26" s="70" t="s">
        <v>93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129</v>
      </c>
      <c r="D27" s="70" t="s">
        <v>94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16</v>
      </c>
      <c r="D28" s="70" t="s">
        <v>161</v>
      </c>
      <c r="E28" s="71"/>
      <c r="F28" s="71"/>
      <c r="G28" s="72"/>
      <c r="H28" s="1"/>
      <c r="I28" s="1"/>
    </row>
    <row r="29" spans="1:9" x14ac:dyDescent="0.25">
      <c r="A29" s="1"/>
      <c r="B29" s="1"/>
      <c r="C29" s="6" t="s">
        <v>41</v>
      </c>
      <c r="D29" s="70" t="s">
        <v>40</v>
      </c>
      <c r="E29" s="71"/>
      <c r="F29" s="71"/>
      <c r="G29" s="72"/>
      <c r="H29" s="1"/>
      <c r="I29" s="1"/>
    </row>
    <row r="30" spans="1:9" x14ac:dyDescent="0.25">
      <c r="A30" s="1"/>
      <c r="B30" s="1"/>
      <c r="C30" s="6" t="s">
        <v>42</v>
      </c>
      <c r="D30" s="73" t="s">
        <v>123</v>
      </c>
      <c r="E30" s="74"/>
      <c r="F30" s="74"/>
      <c r="G30" s="7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JwN/SNmNy49MKNVcaljfsbM6R3kodyTUFUIArwxypmqlfBehaDobEu7uS/tcYyGTgwgUJDu+iph/Lor26rIKw==" saltValue="y3uwpMpEyRG2ZgqFU9/Hxg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132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0" t="s">
        <v>208</v>
      </c>
      <c r="C8" s="101"/>
      <c r="D8" s="102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6" t="s">
        <v>262</v>
      </c>
      <c r="C10" s="9">
        <v>5039559</v>
      </c>
      <c r="D10" s="14" t="s">
        <v>3</v>
      </c>
      <c r="E10" s="1"/>
      <c r="F10" s="1"/>
    </row>
    <row r="11" spans="1:6" ht="15" customHeight="1" x14ac:dyDescent="0.25">
      <c r="A11" s="1"/>
      <c r="B11" s="66" t="s">
        <v>263</v>
      </c>
      <c r="C11" s="9">
        <v>221206</v>
      </c>
      <c r="D11" s="14" t="s">
        <v>3</v>
      </c>
      <c r="E11" s="1"/>
      <c r="F11" s="1"/>
    </row>
    <row r="12" spans="1:6" x14ac:dyDescent="0.25">
      <c r="A12" s="1"/>
      <c r="B12" s="66" t="s">
        <v>264</v>
      </c>
      <c r="C12" s="9">
        <v>1285704</v>
      </c>
      <c r="D12" s="14" t="s">
        <v>3</v>
      </c>
      <c r="E12" s="1"/>
      <c r="F12" s="1"/>
    </row>
    <row r="13" spans="1:6" x14ac:dyDescent="0.25">
      <c r="A13" s="1"/>
      <c r="B13" s="66" t="s">
        <v>265</v>
      </c>
      <c r="C13" s="9">
        <v>376350</v>
      </c>
      <c r="D13" s="14" t="s">
        <v>3</v>
      </c>
      <c r="E13" s="1"/>
      <c r="F13" s="1"/>
    </row>
    <row r="14" spans="1:6" x14ac:dyDescent="0.25">
      <c r="A14" s="1"/>
      <c r="B14" s="66" t="s">
        <v>266</v>
      </c>
      <c r="C14" s="9">
        <v>529797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7452616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7501884.4245882407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00" t="s">
        <v>142</v>
      </c>
      <c r="C19" s="101"/>
      <c r="D19" s="102"/>
      <c r="E19" s="1"/>
      <c r="F19" s="1"/>
    </row>
    <row r="20" spans="1:6" x14ac:dyDescent="0.25">
      <c r="A20" s="1"/>
      <c r="B20" s="66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6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6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6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100"/>
      <c r="C24" s="101"/>
      <c r="D24" s="102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00" t="s">
        <v>115</v>
      </c>
      <c r="C27" s="101"/>
      <c r="D27" s="102"/>
      <c r="E27" s="1"/>
      <c r="F27" s="1"/>
    </row>
    <row r="28" spans="1:6" x14ac:dyDescent="0.25">
      <c r="A28" s="1"/>
      <c r="B28" s="66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6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6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6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100"/>
      <c r="C32" s="101"/>
      <c r="D32" s="102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TILJuWJpAqQmNgytIX6MQb3LLlhf+FGaCf5Mx+b2gLm0qW+wARvBHikHt6T6DptdmVTyQ93ng5gNr5ID6OOMFQ==" saltValue="NmUXcLR1Jz+DdPK7mCdjO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J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212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62"/>
      <c r="C5" s="62"/>
      <c r="D5" s="62"/>
      <c r="E5" s="62"/>
      <c r="F5" s="62"/>
      <c r="G5" s="1"/>
    </row>
    <row r="6" spans="1:7" ht="15" customHeight="1" x14ac:dyDescent="0.25">
      <c r="A6" s="1"/>
      <c r="B6" s="62"/>
      <c r="C6" s="62"/>
      <c r="D6" s="62"/>
      <c r="E6" s="62"/>
      <c r="F6" s="6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0" t="s">
        <v>268</v>
      </c>
      <c r="C8" s="101"/>
      <c r="D8" s="101"/>
      <c r="E8" s="101"/>
      <c r="F8" s="102"/>
      <c r="G8" s="1"/>
    </row>
    <row r="9" spans="1:7" x14ac:dyDescent="0.25">
      <c r="A9" s="1"/>
      <c r="B9" s="105" t="s">
        <v>269</v>
      </c>
      <c r="C9" s="106"/>
      <c r="D9" s="107"/>
      <c r="E9" s="9">
        <v>-74976514.780344933</v>
      </c>
      <c r="F9" s="14" t="s">
        <v>3</v>
      </c>
      <c r="G9" s="1"/>
    </row>
    <row r="10" spans="1:7" x14ac:dyDescent="0.25">
      <c r="A10" s="1"/>
      <c r="B10" s="105" t="s">
        <v>270</v>
      </c>
      <c r="C10" s="106"/>
      <c r="D10" s="107"/>
      <c r="E10" s="9">
        <v>-2024984.7235699296</v>
      </c>
      <c r="F10" s="14" t="s">
        <v>3</v>
      </c>
      <c r="G10" s="1"/>
    </row>
    <row r="11" spans="1:7" x14ac:dyDescent="0.25">
      <c r="A11" s="1"/>
      <c r="B11" s="105" t="s">
        <v>271</v>
      </c>
      <c r="C11" s="106"/>
      <c r="D11" s="107"/>
      <c r="E11" s="9">
        <v>-2024984.7235699296</v>
      </c>
      <c r="F11" s="14" t="s">
        <v>3</v>
      </c>
      <c r="G11" s="1"/>
    </row>
    <row r="12" spans="1:7" x14ac:dyDescent="0.25">
      <c r="A12" s="1"/>
      <c r="B12" s="105" t="s">
        <v>272</v>
      </c>
      <c r="C12" s="106"/>
      <c r="D12" s="107"/>
      <c r="E12" s="9">
        <v>9335770.4054012001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0" t="s">
        <v>273</v>
      </c>
      <c r="C14" s="91"/>
      <c r="D14" s="91"/>
      <c r="E14" s="91"/>
      <c r="F14" s="9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0" t="s">
        <v>274</v>
      </c>
      <c r="C16" s="101"/>
      <c r="D16" s="101"/>
      <c r="E16" s="101"/>
      <c r="F16" s="102"/>
      <c r="G16" s="1"/>
    </row>
    <row r="17" spans="1:10" x14ac:dyDescent="0.25">
      <c r="A17" s="1"/>
      <c r="B17" s="105" t="s">
        <v>275</v>
      </c>
      <c r="C17" s="106"/>
      <c r="D17" s="107"/>
      <c r="E17" s="9">
        <v>0</v>
      </c>
      <c r="F17" s="14" t="s">
        <v>3</v>
      </c>
      <c r="G17" s="1"/>
    </row>
    <row r="18" spans="1:10" x14ac:dyDescent="0.25">
      <c r="A18" s="1"/>
      <c r="B18" s="105" t="s">
        <v>276</v>
      </c>
      <c r="C18" s="106"/>
      <c r="D18" s="107"/>
      <c r="E18" s="9">
        <v>0</v>
      </c>
      <c r="F18" s="14" t="s">
        <v>3</v>
      </c>
      <c r="G18" s="1"/>
    </row>
    <row r="19" spans="1:10" x14ac:dyDescent="0.25">
      <c r="A19" s="1"/>
      <c r="B19" s="38"/>
      <c r="C19" s="32"/>
      <c r="D19" s="32"/>
      <c r="E19" s="32"/>
      <c r="F19" s="20"/>
      <c r="G19" s="1"/>
    </row>
    <row r="20" spans="1:10" ht="29.25" customHeight="1" x14ac:dyDescent="0.25">
      <c r="A20" s="1"/>
      <c r="B20" s="90" t="s">
        <v>277</v>
      </c>
      <c r="C20" s="91"/>
      <c r="D20" s="91"/>
      <c r="E20" s="91"/>
      <c r="F20" s="92"/>
      <c r="G20" s="1"/>
    </row>
    <row r="21" spans="1:10" x14ac:dyDescent="0.25">
      <c r="A21" s="1"/>
      <c r="B21" s="1"/>
      <c r="C21" s="1"/>
      <c r="D21" s="1"/>
      <c r="E21" s="1"/>
      <c r="F21" s="1"/>
      <c r="G21" s="1"/>
    </row>
    <row r="22" spans="1:10" x14ac:dyDescent="0.25">
      <c r="A22" s="1"/>
      <c r="B22" s="57" t="s">
        <v>213</v>
      </c>
      <c r="C22" s="58"/>
      <c r="D22" s="58"/>
      <c r="E22" s="58"/>
      <c r="F22" s="59"/>
      <c r="G22" s="1"/>
    </row>
    <row r="23" spans="1:10" x14ac:dyDescent="0.25">
      <c r="A23" s="1"/>
      <c r="B23" s="63" t="s">
        <v>214</v>
      </c>
      <c r="C23" s="64"/>
      <c r="D23" s="65"/>
      <c r="E23" s="9">
        <v>243258183.98615375</v>
      </c>
      <c r="F23" s="14" t="s">
        <v>3</v>
      </c>
      <c r="G23" s="1"/>
      <c r="J23" s="49"/>
    </row>
    <row r="24" spans="1:10" x14ac:dyDescent="0.25">
      <c r="A24" s="1"/>
      <c r="B24" s="63" t="s">
        <v>215</v>
      </c>
      <c r="C24" s="64"/>
      <c r="D24" s="65"/>
      <c r="E24" s="9">
        <v>247265739.78999999</v>
      </c>
      <c r="F24" s="14" t="s">
        <v>3</v>
      </c>
      <c r="G24" s="1"/>
      <c r="J24" s="49"/>
    </row>
    <row r="25" spans="1:10" x14ac:dyDescent="0.25">
      <c r="A25" s="1"/>
      <c r="B25" s="63" t="s">
        <v>36</v>
      </c>
      <c r="C25" s="64"/>
      <c r="D25" s="65"/>
      <c r="E25" s="9">
        <v>335035</v>
      </c>
      <c r="F25" s="14" t="s">
        <v>3</v>
      </c>
      <c r="G25" s="1"/>
    </row>
    <row r="26" spans="1:10" x14ac:dyDescent="0.25">
      <c r="A26" s="1"/>
      <c r="B26" s="60" t="s">
        <v>278</v>
      </c>
      <c r="C26" s="61"/>
      <c r="D26" s="68"/>
      <c r="E26" s="48">
        <f>E23-(E24-E25)</f>
        <v>-3672520.80384624</v>
      </c>
      <c r="F26" s="17" t="s">
        <v>3</v>
      </c>
      <c r="G26" s="1"/>
    </row>
    <row r="27" spans="1:10" x14ac:dyDescent="0.25">
      <c r="A27" s="1"/>
      <c r="B27" s="38"/>
      <c r="C27" s="32"/>
      <c r="D27" s="32"/>
      <c r="E27" s="32"/>
      <c r="F27" s="20"/>
      <c r="G27" s="1"/>
    </row>
    <row r="28" spans="1:10" x14ac:dyDescent="0.25">
      <c r="A28" s="1"/>
      <c r="B28" s="1"/>
      <c r="C28" s="1"/>
      <c r="D28" s="1"/>
      <c r="E28" s="1"/>
      <c r="F28" s="1"/>
      <c r="G28" s="1"/>
    </row>
    <row r="29" spans="1:10" x14ac:dyDescent="0.25">
      <c r="A29" s="1"/>
      <c r="B29" s="1"/>
      <c r="C29" s="1"/>
      <c r="D29" s="1"/>
      <c r="E29" s="1"/>
      <c r="F29" s="1"/>
      <c r="G29" s="1"/>
    </row>
    <row r="30" spans="1:10" x14ac:dyDescent="0.25">
      <c r="A30" s="1"/>
      <c r="B30" s="100" t="s">
        <v>186</v>
      </c>
      <c r="C30" s="101"/>
      <c r="D30" s="101"/>
      <c r="E30" s="101"/>
      <c r="F30" s="102"/>
      <c r="G30" s="1"/>
    </row>
    <row r="31" spans="1:10" x14ac:dyDescent="0.25">
      <c r="A31" s="1"/>
      <c r="B31" s="121" t="s">
        <v>284</v>
      </c>
      <c r="C31" s="122"/>
      <c r="D31" s="123"/>
      <c r="E31" s="9">
        <v>0</v>
      </c>
      <c r="F31" s="14"/>
      <c r="G31" s="1"/>
    </row>
    <row r="32" spans="1:10" x14ac:dyDescent="0.25">
      <c r="A32" s="1"/>
      <c r="B32" s="121" t="s">
        <v>187</v>
      </c>
      <c r="C32" s="122"/>
      <c r="D32" s="123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21" t="s">
        <v>120</v>
      </c>
      <c r="C33" s="122"/>
      <c r="D33" s="123"/>
      <c r="E33" s="9">
        <v>2</v>
      </c>
      <c r="F33" s="14" t="s">
        <v>21</v>
      </c>
      <c r="G33" s="1"/>
    </row>
    <row r="34" spans="1:7" x14ac:dyDescent="0.25">
      <c r="A34" s="1"/>
      <c r="B34" s="117" t="s">
        <v>188</v>
      </c>
      <c r="C34" s="117"/>
      <c r="D34" s="117"/>
      <c r="E34" s="10">
        <f>E32/E33</f>
        <v>0</v>
      </c>
      <c r="F34" s="17" t="s">
        <v>3</v>
      </c>
      <c r="G34" s="1"/>
    </row>
    <row r="35" spans="1:7" x14ac:dyDescent="0.25">
      <c r="A35" s="1"/>
      <c r="B35" s="118"/>
      <c r="C35" s="119"/>
      <c r="D35" s="119"/>
      <c r="E35" s="119"/>
      <c r="F35" s="120"/>
      <c r="G35" s="1"/>
    </row>
    <row r="36" spans="1:7" ht="75" customHeight="1" x14ac:dyDescent="0.25">
      <c r="A36" s="1"/>
      <c r="B36" s="90" t="s">
        <v>283</v>
      </c>
      <c r="C36" s="91"/>
      <c r="D36" s="91"/>
      <c r="E36" s="91"/>
      <c r="F36" s="92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MCa4ihbJRA+cEcrpB0/AEBMXkp2NdkolWiXKrc7SlYzLDmDfa6SWh2H+0JETz/FJrKJqoAhT79WKkfqwkKhypw==" saltValue="uh7XgcJdUp2cHygoChBgmA==" spinCount="100000" sheet="1" objects="1" scenarios="1"/>
  <mergeCells count="18"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4:D34"/>
    <mergeCell ref="B35:F35"/>
    <mergeCell ref="B36:F36"/>
    <mergeCell ref="B20:F20"/>
    <mergeCell ref="B30:F30"/>
    <mergeCell ref="B31:D31"/>
    <mergeCell ref="B32:D32"/>
    <mergeCell ref="B33:D33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216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0" t="s">
        <v>217</v>
      </c>
      <c r="C9" s="101"/>
      <c r="D9" s="101"/>
      <c r="E9" s="101"/>
      <c r="F9" s="102"/>
      <c r="G9" s="1"/>
    </row>
    <row r="10" spans="1:7" x14ac:dyDescent="0.25">
      <c r="A10" s="1"/>
      <c r="B10" s="90" t="s">
        <v>118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105" t="s">
        <v>218</v>
      </c>
      <c r="C11" s="106"/>
      <c r="D11" s="107"/>
      <c r="E11" s="7">
        <v>0</v>
      </c>
      <c r="F11" s="8" t="s">
        <v>3</v>
      </c>
      <c r="G11" s="1"/>
    </row>
    <row r="12" spans="1:7" x14ac:dyDescent="0.25">
      <c r="A12" s="1"/>
      <c r="B12" s="103" t="s">
        <v>119</v>
      </c>
      <c r="C12" s="104"/>
      <c r="D12" s="124"/>
      <c r="E12" s="10">
        <f>E11-E10</f>
        <v>0</v>
      </c>
      <c r="F12" s="11" t="s">
        <v>3</v>
      </c>
      <c r="G12" s="1"/>
    </row>
    <row r="13" spans="1:7" x14ac:dyDescent="0.25">
      <c r="A13" s="1"/>
      <c r="B13" s="100" t="s">
        <v>109</v>
      </c>
      <c r="C13" s="101"/>
      <c r="D13" s="101"/>
      <c r="E13" s="101"/>
      <c r="F13" s="102"/>
      <c r="G13" s="1"/>
    </row>
    <row r="14" spans="1:7" x14ac:dyDescent="0.25">
      <c r="A14" s="1"/>
      <c r="B14" s="105" t="s">
        <v>219</v>
      </c>
      <c r="C14" s="106"/>
      <c r="D14" s="107"/>
      <c r="E14" s="9">
        <v>0</v>
      </c>
      <c r="F14" s="8" t="s">
        <v>3</v>
      </c>
      <c r="G14" s="1"/>
    </row>
    <row r="15" spans="1:7" x14ac:dyDescent="0.25">
      <c r="A15" s="1"/>
      <c r="B15" s="90" t="s">
        <v>220</v>
      </c>
      <c r="C15" s="91"/>
      <c r="D15" s="92"/>
      <c r="E15" s="9">
        <v>0</v>
      </c>
      <c r="F15" s="8" t="s">
        <v>3</v>
      </c>
      <c r="G15" s="1"/>
    </row>
    <row r="16" spans="1:7" x14ac:dyDescent="0.25">
      <c r="A16" s="1"/>
      <c r="B16" s="103" t="s">
        <v>119</v>
      </c>
      <c r="C16" s="104"/>
      <c r="D16" s="124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1WbV2jUAgCgBmJS+FtGrKKrL2RKOIW+ifb/pv4MM+mpdGPHPIF8RHlB2gDgS/hUsJOIyvuduIh+6DeisStPOIw==" saltValue="7zqLjuqiQfBlsU1skDj8l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177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0" t="s">
        <v>178</v>
      </c>
      <c r="C8" s="101"/>
      <c r="D8" s="101"/>
      <c r="E8" s="101"/>
      <c r="F8" s="101"/>
      <c r="G8" s="101"/>
      <c r="H8" s="102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9" t="s">
        <v>285</v>
      </c>
      <c r="C10" s="50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00" t="s">
        <v>179</v>
      </c>
      <c r="C11" s="101"/>
      <c r="D11" s="102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hxp35p/j6VeSsXIMXyUn0wpTiNzREtfDYb2jDOm5GxecIFNn7ZFhBwiTfBQ9kMAILIJcIy8WxevxLJ/jfycVg==" saltValue="9FnFQ1RItXbY70+WOKKxd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135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5" t="s">
        <v>18</v>
      </c>
      <c r="C9" s="55" t="s">
        <v>12</v>
      </c>
      <c r="D9" s="56"/>
      <c r="E9" s="55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280</v>
      </c>
      <c r="C11" s="22">
        <v>0</v>
      </c>
      <c r="D11" s="14" t="s">
        <v>3</v>
      </c>
      <c r="E11" s="9">
        <v>3153550</v>
      </c>
      <c r="F11" s="14" t="s">
        <v>3</v>
      </c>
      <c r="G11" s="1"/>
    </row>
    <row r="12" spans="1:7" x14ac:dyDescent="0.25">
      <c r="A12" s="1"/>
      <c r="B12" s="47" t="s">
        <v>282</v>
      </c>
      <c r="C12" s="22">
        <v>702000</v>
      </c>
      <c r="D12" s="14" t="s">
        <v>3</v>
      </c>
      <c r="E12" s="9">
        <v>717394</v>
      </c>
      <c r="F12" s="14" t="s">
        <v>3</v>
      </c>
      <c r="G12" s="1"/>
    </row>
    <row r="13" spans="1:7" x14ac:dyDescent="0.25">
      <c r="A13" s="1"/>
      <c r="B13" s="25" t="s">
        <v>281</v>
      </c>
      <c r="C13" s="22">
        <v>137935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38" t="s">
        <v>163</v>
      </c>
      <c r="C14" s="12">
        <f>SUM(C10:C13)</f>
        <v>839935</v>
      </c>
      <c r="D14" s="13" t="s">
        <v>3</v>
      </c>
      <c r="E14" s="12">
        <f>SUM(E10:E13)</f>
        <v>3870944</v>
      </c>
      <c r="F14" s="13" t="s">
        <v>3</v>
      </c>
      <c r="G14" s="1"/>
    </row>
    <row r="15" spans="1:7" x14ac:dyDescent="0.25">
      <c r="A15" s="1"/>
      <c r="B15" s="38" t="s">
        <v>222</v>
      </c>
      <c r="C15" s="12">
        <f>C14*(1+'Fane 14. Nøgletal'!C14)</f>
        <v>842706.78550000011</v>
      </c>
      <c r="D15" s="13" t="s">
        <v>3</v>
      </c>
      <c r="E15" s="12">
        <f>E14*(1+'Fane 14. Nøgletal'!C14)</f>
        <v>3883718.1152000003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J/qJkdee9RLojU/ArHK4i9bh0caX0k7PzrVsuTkgaKBG5LKkTuRE9nvPSLzGEMUptoAv614HmtZeZeKEjFg6lw==" saltValue="1G0tjzdnWAqHU6ChfOKb0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134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0" t="s">
        <v>112</v>
      </c>
      <c r="C8" s="101"/>
      <c r="D8" s="101"/>
      <c r="E8" s="101"/>
      <c r="F8" s="102"/>
      <c r="G8" s="1"/>
    </row>
    <row r="9" spans="1:7" x14ac:dyDescent="0.25">
      <c r="A9" s="1"/>
      <c r="B9" s="55" t="s">
        <v>18</v>
      </c>
      <c r="C9" s="55" t="s">
        <v>12</v>
      </c>
      <c r="D9" s="56"/>
      <c r="E9" s="55" t="s">
        <v>34</v>
      </c>
      <c r="F9" s="37"/>
      <c r="G9" s="1"/>
    </row>
    <row r="10" spans="1:7" x14ac:dyDescent="0.25">
      <c r="A10" s="1"/>
      <c r="B10" s="25" t="s">
        <v>280</v>
      </c>
      <c r="C10" s="22">
        <v>130372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7" t="s">
        <v>282</v>
      </c>
      <c r="C11" s="22">
        <v>29697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5" t="s">
        <v>281</v>
      </c>
      <c r="C12" s="22">
        <v>1379352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38" t="s">
        <v>223</v>
      </c>
      <c r="C13" s="12">
        <f>SUM(C10:C12)</f>
        <v>1539421</v>
      </c>
      <c r="D13" s="13" t="s">
        <v>3</v>
      </c>
      <c r="E13" s="12">
        <f>SUM(E10:E12)</f>
        <v>0</v>
      </c>
      <c r="F13" s="13" t="s">
        <v>3</v>
      </c>
      <c r="G13" s="1"/>
    </row>
    <row r="14" spans="1:7" x14ac:dyDescent="0.25">
      <c r="A14" s="1"/>
      <c r="B14" s="27" t="s">
        <v>10</v>
      </c>
      <c r="C14" s="28">
        <f>-C13*'Fane 5. Individuelt eff. krav'!G12</f>
        <v>-15630.676524410082</v>
      </c>
      <c r="D14" s="29" t="s">
        <v>3</v>
      </c>
      <c r="E14" s="28">
        <f>-E13*'Fane 5. Individuelt eff. krav'!G12</f>
        <v>0</v>
      </c>
      <c r="F14" s="29" t="s">
        <v>3</v>
      </c>
      <c r="G14" s="1"/>
    </row>
    <row r="15" spans="1:7" x14ac:dyDescent="0.25">
      <c r="A15" s="1"/>
      <c r="B15" s="27" t="s">
        <v>114</v>
      </c>
      <c r="C15" s="28">
        <f>-C13*'Fane 14. Nøgletal'!C29</f>
        <v>-30788.420000000002</v>
      </c>
      <c r="D15" s="29" t="s">
        <v>3</v>
      </c>
      <c r="E15" s="28">
        <f>-E13*'Fane 14. Nøgletal'!C24</f>
        <v>0</v>
      </c>
      <c r="F15" s="29" t="s">
        <v>3</v>
      </c>
      <c r="G15" s="1"/>
    </row>
    <row r="16" spans="1:7" x14ac:dyDescent="0.25">
      <c r="A16" s="1"/>
      <c r="B16" s="38" t="s">
        <v>164</v>
      </c>
      <c r="C16" s="12">
        <f>SUM(C13:C15)*(1+'Fane 14. Nøgletal'!C14)^2</f>
        <v>1502871.9748292579</v>
      </c>
      <c r="D16" s="13" t="s">
        <v>3</v>
      </c>
      <c r="E16" s="12">
        <f>SUM(E13:E15)*(1+'Fane 14. Nøgletal'!C14)^2</f>
        <v>0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00" t="s">
        <v>113</v>
      </c>
      <c r="C18" s="101"/>
      <c r="D18" s="101"/>
      <c r="E18" s="101"/>
      <c r="F18" s="102"/>
      <c r="G18" s="1"/>
    </row>
    <row r="19" spans="1:7" x14ac:dyDescent="0.25">
      <c r="A19" s="1"/>
      <c r="B19" s="55" t="s">
        <v>18</v>
      </c>
      <c r="C19" s="55" t="s">
        <v>12</v>
      </c>
      <c r="D19" s="56"/>
      <c r="E19" s="55" t="s">
        <v>34</v>
      </c>
      <c r="F19" s="37"/>
      <c r="G19" s="1"/>
    </row>
    <row r="20" spans="1:7" x14ac:dyDescent="0.25">
      <c r="A20" s="1"/>
      <c r="B20" s="25" t="s">
        <v>286</v>
      </c>
      <c r="C20" s="22">
        <v>0</v>
      </c>
      <c r="D20" s="14" t="s">
        <v>3</v>
      </c>
      <c r="E20" s="9">
        <v>0</v>
      </c>
      <c r="F20" s="14" t="s">
        <v>3</v>
      </c>
      <c r="G20" s="1"/>
    </row>
    <row r="21" spans="1:7" x14ac:dyDescent="0.25">
      <c r="A21" s="1"/>
      <c r="B21" s="38" t="s">
        <v>223</v>
      </c>
      <c r="C21" s="12">
        <f>SUM(C20:C20)</f>
        <v>0</v>
      </c>
      <c r="D21" s="13" t="s">
        <v>3</v>
      </c>
      <c r="E21" s="12">
        <f>SUM(E20:E20)</f>
        <v>0</v>
      </c>
      <c r="F21" s="13" t="s">
        <v>3</v>
      </c>
      <c r="G21" s="1"/>
    </row>
    <row r="22" spans="1:7" x14ac:dyDescent="0.25">
      <c r="A22" s="1"/>
      <c r="B22" s="27" t="s">
        <v>10</v>
      </c>
      <c r="C22" s="28">
        <f>-C21*'Fane 5. Individuelt eff. krav'!G12</f>
        <v>0</v>
      </c>
      <c r="D22" s="29" t="s">
        <v>3</v>
      </c>
      <c r="E22" s="28">
        <f>-E21*'Fane 5. Individuelt eff. krav'!G12</f>
        <v>0</v>
      </c>
      <c r="F22" s="29" t="s">
        <v>3</v>
      </c>
      <c r="G22" s="1"/>
    </row>
    <row r="23" spans="1:7" x14ac:dyDescent="0.25">
      <c r="A23" s="1"/>
      <c r="B23" s="27" t="s">
        <v>114</v>
      </c>
      <c r="C23" s="28">
        <f>-C21*'Fane 14. Nøgletal'!C29</f>
        <v>0</v>
      </c>
      <c r="D23" s="29" t="s">
        <v>3</v>
      </c>
      <c r="E23" s="28">
        <f>-E21*'Fane 14. Nøgletal'!C24</f>
        <v>0</v>
      </c>
      <c r="F23" s="29" t="s">
        <v>3</v>
      </c>
      <c r="G23" s="1"/>
    </row>
    <row r="24" spans="1:7" x14ac:dyDescent="0.25">
      <c r="A24" s="1"/>
      <c r="B24" s="38" t="s">
        <v>165</v>
      </c>
      <c r="C24" s="12">
        <f>SUM(C21:C23)*(1+'Fane 14. Nøgletal'!C14)^3</f>
        <v>0</v>
      </c>
      <c r="D24" s="13" t="s">
        <v>3</v>
      </c>
      <c r="E24" s="12">
        <f>SUM(E21:E23)*(1+'Fane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0" t="s">
        <v>166</v>
      </c>
      <c r="C26" s="101"/>
      <c r="D26" s="101"/>
      <c r="E26" s="101"/>
      <c r="F26" s="102"/>
      <c r="G26" s="1"/>
    </row>
    <row r="27" spans="1:7" x14ac:dyDescent="0.25">
      <c r="A27" s="1"/>
      <c r="B27" s="55" t="s">
        <v>18</v>
      </c>
      <c r="C27" s="55" t="s">
        <v>12</v>
      </c>
      <c r="D27" s="56"/>
      <c r="E27" s="55" t="s">
        <v>34</v>
      </c>
      <c r="F27" s="37"/>
      <c r="G27" s="1"/>
    </row>
    <row r="28" spans="1:7" x14ac:dyDescent="0.25">
      <c r="A28" s="1"/>
      <c r="B28" s="25" t="s">
        <v>286</v>
      </c>
      <c r="C28" s="22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223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27" t="s">
        <v>10</v>
      </c>
      <c r="C30" s="28">
        <f>-C29*'Fane 5. Individuelt eff. krav'!G12</f>
        <v>0</v>
      </c>
      <c r="D30" s="29" t="s">
        <v>3</v>
      </c>
      <c r="E30" s="28">
        <f>-E29*'Fane 5. Individuelt eff. krav'!G12</f>
        <v>0</v>
      </c>
      <c r="F30" s="29" t="s">
        <v>3</v>
      </c>
      <c r="G30" s="1"/>
    </row>
    <row r="31" spans="1:7" x14ac:dyDescent="0.25">
      <c r="A31" s="1"/>
      <c r="B31" s="27" t="s">
        <v>114</v>
      </c>
      <c r="C31" s="28">
        <f>-C29*'Fane 14. Nøgletal'!C29</f>
        <v>0</v>
      </c>
      <c r="D31" s="29" t="s">
        <v>3</v>
      </c>
      <c r="E31" s="28">
        <f>-E29*'Fane 14. Nøgletal'!C24</f>
        <v>0</v>
      </c>
      <c r="F31" s="29" t="s">
        <v>3</v>
      </c>
      <c r="G31" s="1"/>
    </row>
    <row r="32" spans="1:7" x14ac:dyDescent="0.25">
      <c r="A32" s="1"/>
      <c r="B32" s="38" t="s">
        <v>167</v>
      </c>
      <c r="C32" s="12">
        <f>SUM(C29:C31)*(1+'Fane 14. Nøgletal'!C14)^4</f>
        <v>0</v>
      </c>
      <c r="D32" s="13" t="s">
        <v>3</v>
      </c>
      <c r="E32" s="12">
        <f>SUM(E29:E31)*(1+'Fane 14. Nøgletal'!C14)^4</f>
        <v>0</v>
      </c>
      <c r="F32" s="13" t="s">
        <v>3</v>
      </c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00" t="s">
        <v>224</v>
      </c>
      <c r="C34" s="101"/>
      <c r="D34" s="101"/>
      <c r="E34" s="101"/>
      <c r="F34" s="102"/>
      <c r="G34" s="1"/>
    </row>
    <row r="35" spans="1:7" x14ac:dyDescent="0.25">
      <c r="A35" s="1"/>
      <c r="B35" s="55" t="s">
        <v>18</v>
      </c>
      <c r="C35" s="55" t="s">
        <v>12</v>
      </c>
      <c r="D35" s="56"/>
      <c r="E35" s="55" t="s">
        <v>34</v>
      </c>
      <c r="F35" s="37"/>
      <c r="G35" s="1"/>
    </row>
    <row r="36" spans="1:7" x14ac:dyDescent="0.25">
      <c r="A36" s="1"/>
      <c r="B36" s="25" t="s">
        <v>286</v>
      </c>
      <c r="C36" s="22">
        <v>0</v>
      </c>
      <c r="D36" s="14" t="s">
        <v>3</v>
      </c>
      <c r="E36" s="9">
        <v>0</v>
      </c>
      <c r="F36" s="14" t="s">
        <v>3</v>
      </c>
      <c r="G36" s="1"/>
    </row>
    <row r="37" spans="1:7" x14ac:dyDescent="0.25">
      <c r="A37" s="1"/>
      <c r="B37" s="38" t="s">
        <v>223</v>
      </c>
      <c r="C37" s="12">
        <f>SUM(C36:C36)</f>
        <v>0</v>
      </c>
      <c r="D37" s="13" t="s">
        <v>3</v>
      </c>
      <c r="E37" s="12">
        <f>SUM(E36:E36)</f>
        <v>0</v>
      </c>
      <c r="F37" s="13" t="s">
        <v>3</v>
      </c>
      <c r="G37" s="1"/>
    </row>
    <row r="38" spans="1:7" x14ac:dyDescent="0.25">
      <c r="A38" s="1"/>
      <c r="B38" s="27" t="s">
        <v>10</v>
      </c>
      <c r="C38" s="28">
        <f>-C37*'Fane 5. Individuelt eff. krav'!G12</f>
        <v>0</v>
      </c>
      <c r="D38" s="29" t="s">
        <v>3</v>
      </c>
      <c r="E38" s="28">
        <f>-E37*'Fane 5. Individuelt eff. krav'!G12</f>
        <v>0</v>
      </c>
      <c r="F38" s="29" t="s">
        <v>3</v>
      </c>
      <c r="G38" s="1"/>
    </row>
    <row r="39" spans="1:7" x14ac:dyDescent="0.25">
      <c r="A39" s="1"/>
      <c r="B39" s="27" t="s">
        <v>114</v>
      </c>
      <c r="C39" s="28">
        <f>-C37*'Fane 14. Nøgletal'!C29</f>
        <v>0</v>
      </c>
      <c r="D39" s="29" t="s">
        <v>3</v>
      </c>
      <c r="E39" s="28">
        <f>-E37*'Fane 14. Nøgletal'!C24</f>
        <v>0</v>
      </c>
      <c r="F39" s="29" t="s">
        <v>3</v>
      </c>
      <c r="G39" s="1"/>
    </row>
    <row r="40" spans="1:7" x14ac:dyDescent="0.25">
      <c r="A40" s="1"/>
      <c r="B40" s="38" t="s">
        <v>225</v>
      </c>
      <c r="C40" s="12">
        <f>SUM(C37:C39)*(1+'Fane 14. Nøgletal'!C14)^5</f>
        <v>0</v>
      </c>
      <c r="D40" s="13" t="s">
        <v>3</v>
      </c>
      <c r="E40" s="12">
        <f>SUM(E37:E39)*(1+'Fane 14. Nøgletal'!C14)^5</f>
        <v>0</v>
      </c>
      <c r="F40" s="13" t="s">
        <v>3</v>
      </c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bD3RRGJPpNmzPUFbU2AorlruFpUodP5I3f1GbFWkjAyyrEVcx4nUu9tr5IXt/6h/Oe4NPXfcZBm/S7W1EBZoPg==" saltValue="ohJZBZfqe/Bwox0tKgdEUA==" spinCount="100000" sheet="1" objects="1" scenarios="1"/>
  <mergeCells count="5">
    <mergeCell ref="B3:F4"/>
    <mergeCell ref="B8:F8"/>
    <mergeCell ref="B18:F18"/>
    <mergeCell ref="B26:F26"/>
    <mergeCell ref="B34:F3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136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0" t="s">
        <v>103</v>
      </c>
      <c r="C8" s="101"/>
      <c r="D8" s="101"/>
      <c r="E8" s="101"/>
      <c r="F8" s="102"/>
      <c r="G8" s="1"/>
    </row>
    <row r="9" spans="1:7" x14ac:dyDescent="0.25">
      <c r="A9" s="1"/>
      <c r="B9" s="125" t="s">
        <v>226</v>
      </c>
      <c r="C9" s="126"/>
      <c r="D9" s="127"/>
      <c r="E9" s="9">
        <v>995739.97767567483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krav'!G12</f>
        <v>-10110.352849202258</v>
      </c>
      <c r="F10" s="14" t="s">
        <v>3</v>
      </c>
      <c r="G10" s="1"/>
    </row>
    <row r="11" spans="1:7" x14ac:dyDescent="0.25">
      <c r="A11" s="1"/>
      <c r="B11" s="94" t="s">
        <v>26</v>
      </c>
      <c r="C11" s="95"/>
      <c r="D11" s="96"/>
      <c r="E11" s="9">
        <f>-E9*'Fane 14. Nøgletal'!C29</f>
        <v>-19914.799553513498</v>
      </c>
      <c r="F11" s="14" t="s">
        <v>3</v>
      </c>
      <c r="G11" s="1"/>
    </row>
    <row r="12" spans="1:7" x14ac:dyDescent="0.25">
      <c r="A12" s="1"/>
      <c r="B12" s="100" t="s">
        <v>105</v>
      </c>
      <c r="C12" s="101"/>
      <c r="D12" s="102"/>
      <c r="E12" s="12">
        <f>SUM(E9:E11)*(1+'Fane 14. Nøgletal'!C14)^2</f>
        <v>972099.05975420796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0" t="s">
        <v>104</v>
      </c>
      <c r="C14" s="101"/>
      <c r="D14" s="101"/>
      <c r="E14" s="101"/>
      <c r="F14" s="102"/>
      <c r="G14" s="1"/>
    </row>
    <row r="15" spans="1:7" ht="15" customHeight="1" x14ac:dyDescent="0.25">
      <c r="A15" s="1"/>
      <c r="B15" s="125" t="s">
        <v>226</v>
      </c>
      <c r="C15" s="126"/>
      <c r="D15" s="127"/>
      <c r="E15" s="9">
        <v>995739.97767567483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krav'!G12</f>
        <v>-10110.352849202258</v>
      </c>
      <c r="F16" s="14" t="s">
        <v>3</v>
      </c>
      <c r="G16" s="1"/>
    </row>
    <row r="17" spans="1:7" x14ac:dyDescent="0.25">
      <c r="A17" s="1"/>
      <c r="B17" s="94" t="s">
        <v>26</v>
      </c>
      <c r="C17" s="95"/>
      <c r="D17" s="96"/>
      <c r="E17" s="9">
        <f>-E15*'Fane 14. Nøgletal'!C29</f>
        <v>-19914.799553513498</v>
      </c>
      <c r="F17" s="14" t="s">
        <v>3</v>
      </c>
      <c r="G17" s="1"/>
    </row>
    <row r="18" spans="1:7" x14ac:dyDescent="0.25">
      <c r="A18" s="1"/>
      <c r="B18" s="100" t="s">
        <v>106</v>
      </c>
      <c r="C18" s="101"/>
      <c r="D18" s="102"/>
      <c r="E18" s="12">
        <f>SUM(E15:E17)*(1+'Fane 14. Nøgletal'!C14)^3</f>
        <v>975306.98665139696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0" t="s">
        <v>155</v>
      </c>
      <c r="C20" s="101"/>
      <c r="D20" s="101"/>
      <c r="E20" s="101"/>
      <c r="F20" s="102"/>
      <c r="G20" s="1"/>
    </row>
    <row r="21" spans="1:7" ht="15" customHeight="1" x14ac:dyDescent="0.25">
      <c r="A21" s="1"/>
      <c r="B21" s="125" t="s">
        <v>226</v>
      </c>
      <c r="C21" s="126"/>
      <c r="D21" s="127"/>
      <c r="E21" s="9">
        <v>995739.97767567483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krav'!G12</f>
        <v>-10110.352849202258</v>
      </c>
      <c r="F22" s="14" t="s">
        <v>3</v>
      </c>
      <c r="G22" s="1"/>
    </row>
    <row r="23" spans="1:7" x14ac:dyDescent="0.25">
      <c r="A23" s="1"/>
      <c r="B23" s="94" t="s">
        <v>26</v>
      </c>
      <c r="C23" s="95"/>
      <c r="D23" s="96"/>
      <c r="E23" s="9">
        <f>-E21*'Fane 14. Nøgletal'!C29</f>
        <v>-19914.799553513498</v>
      </c>
      <c r="F23" s="14" t="s">
        <v>3</v>
      </c>
      <c r="G23" s="1"/>
    </row>
    <row r="24" spans="1:7" x14ac:dyDescent="0.25">
      <c r="A24" s="1"/>
      <c r="B24" s="100" t="s">
        <v>156</v>
      </c>
      <c r="C24" s="101"/>
      <c r="D24" s="102"/>
      <c r="E24" s="12">
        <f>SUM(E21:E23)*(1+'Fane 14. Nøgletal'!C14)^4</f>
        <v>978525.49970734667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0" t="s">
        <v>227</v>
      </c>
      <c r="C26" s="101"/>
      <c r="D26" s="101"/>
      <c r="E26" s="101"/>
      <c r="F26" s="102"/>
      <c r="G26" s="1"/>
    </row>
    <row r="27" spans="1:7" ht="15" customHeight="1" x14ac:dyDescent="0.25">
      <c r="A27" s="1"/>
      <c r="B27" s="125" t="s">
        <v>226</v>
      </c>
      <c r="C27" s="126"/>
      <c r="D27" s="127"/>
      <c r="E27" s="9">
        <v>995739.97767567483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krav'!G12</f>
        <v>-10110.352849202258</v>
      </c>
      <c r="F28" s="14" t="s">
        <v>3</v>
      </c>
      <c r="G28" s="1"/>
    </row>
    <row r="29" spans="1:7" x14ac:dyDescent="0.25">
      <c r="A29" s="1"/>
      <c r="B29" s="94" t="s">
        <v>26</v>
      </c>
      <c r="C29" s="95"/>
      <c r="D29" s="96"/>
      <c r="E29" s="9">
        <f>-E27*'Fane 14. Nøgletal'!C29</f>
        <v>-19914.799553513498</v>
      </c>
      <c r="F29" s="14" t="s">
        <v>3</v>
      </c>
      <c r="G29" s="1"/>
    </row>
    <row r="30" spans="1:7" x14ac:dyDescent="0.25">
      <c r="A30" s="1"/>
      <c r="B30" s="100" t="s">
        <v>228</v>
      </c>
      <c r="C30" s="101"/>
      <c r="D30" s="102"/>
      <c r="E30" s="12">
        <f>SUM(E27:E29)*(1+'Fane 14. Nøgletal'!C14)^5</f>
        <v>981754.63385638094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3HrxhgNfhQWghqqcZCSYIZZQH7/p/tRKIBj/EsrKeq9raSiIAjGjCJ8vT8ufegSh4PxrSt+MTAor4GyyJi7SQ==" saltValue="ZsbDjSL23OUH9t131Js9R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157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0" t="s">
        <v>158</v>
      </c>
      <c r="C8" s="101"/>
      <c r="D8" s="101"/>
      <c r="E8" s="101"/>
      <c r="F8" s="102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/WoZDMp+CxYNdhXu9blmgQZgWPu6v5B588+MkKA76lHfOkVttqnSfYptmOh34u3FAx6TiB9RUUBD1pCWmuJ5A==" saltValue="XXRqyRs+xoztK9wp+XCJc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133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0" t="s">
        <v>107</v>
      </c>
      <c r="C8" s="101"/>
      <c r="D8" s="101"/>
      <c r="E8" s="101"/>
      <c r="F8" s="102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0" t="s">
        <v>108</v>
      </c>
      <c r="C14" s="101"/>
      <c r="D14" s="101"/>
      <c r="E14" s="101"/>
      <c r="F14" s="102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0" t="s">
        <v>169</v>
      </c>
      <c r="C20" s="101"/>
      <c r="D20" s="101"/>
      <c r="E20" s="101"/>
      <c r="F20" s="102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0" t="s">
        <v>231</v>
      </c>
      <c r="C26" s="101"/>
      <c r="D26" s="101"/>
      <c r="E26" s="101"/>
      <c r="F26" s="102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10p8m+O+3tm38FPZ/d8WiNoluzFhKq+MeaMpbvAwGy9BWT8muL0ZAspkvuPJzi0YAuk37iarRtGD9GIUpsHDw==" saltValue="2gBLJ1b1xB5aWZyh2msll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189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6" t="s">
        <v>137</v>
      </c>
      <c r="C9" s="26">
        <v>1.2699999999999999E-2</v>
      </c>
      <c r="D9" s="1"/>
    </row>
    <row r="10" spans="1:4" x14ac:dyDescent="0.25">
      <c r="A10" s="1"/>
      <c r="B10" s="66" t="s">
        <v>138</v>
      </c>
      <c r="C10" s="26">
        <v>1.7500000000000002E-2</v>
      </c>
      <c r="D10" s="1"/>
    </row>
    <row r="11" spans="1:4" x14ac:dyDescent="0.25">
      <c r="A11" s="1"/>
      <c r="B11" s="66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6" t="s">
        <v>253</v>
      </c>
      <c r="C14" s="51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6" t="s">
        <v>139</v>
      </c>
      <c r="C19" s="23">
        <v>9.1000000000000004E-3</v>
      </c>
      <c r="D19" s="1"/>
    </row>
    <row r="20" spans="1:4" x14ac:dyDescent="0.25">
      <c r="A20" s="1"/>
      <c r="B20" s="66" t="s">
        <v>190</v>
      </c>
      <c r="C20" s="23">
        <v>1.77E-2</v>
      </c>
      <c r="D20" s="1"/>
    </row>
    <row r="21" spans="1:4" x14ac:dyDescent="0.25">
      <c r="A21" s="1"/>
      <c r="B21" s="66" t="s">
        <v>191</v>
      </c>
      <c r="C21" s="23">
        <v>8.6999999999999994E-3</v>
      </c>
      <c r="D21" s="1"/>
    </row>
    <row r="22" spans="1:4" x14ac:dyDescent="0.25">
      <c r="A22" s="1"/>
      <c r="B22" s="66" t="s">
        <v>140</v>
      </c>
      <c r="C22" s="41">
        <v>2.8400000000000002E-2</v>
      </c>
      <c r="D22" s="1"/>
    </row>
    <row r="23" spans="1:4" x14ac:dyDescent="0.25">
      <c r="A23" s="1"/>
      <c r="B23" s="66" t="s">
        <v>192</v>
      </c>
      <c r="C23" s="41">
        <v>2.75E-2</v>
      </c>
      <c r="D23" s="1"/>
    </row>
    <row r="24" spans="1:4" x14ac:dyDescent="0.25">
      <c r="A24" s="1"/>
      <c r="B24" s="66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6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p5IpgSlhX/nbV+Jg3qffYn0bGWzDliMJf1Gts2GNT4oM2tyRgExQkg1KxrElVtJAKQXci6HrOavBSWWp7Ywgsg==" saltValue="snRdMp34k+iqajmiIgetI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257121248.99906385</v>
      </c>
      <c r="D9" s="8" t="s">
        <v>3</v>
      </c>
      <c r="E9" s="1"/>
    </row>
    <row r="10" spans="1:5" ht="17.100000000000001" customHeight="1" x14ac:dyDescent="0.25">
      <c r="A10" s="1"/>
      <c r="B10" s="54" t="s">
        <v>43</v>
      </c>
      <c r="C10" s="7">
        <f>'Fane 10.1. Varige tillæg'!C15</f>
        <v>842706.78550000011</v>
      </c>
      <c r="D10" s="8" t="s">
        <v>3</v>
      </c>
      <c r="E10" s="1"/>
    </row>
    <row r="11" spans="1:5" ht="17.100000000000001" customHeight="1" x14ac:dyDescent="0.25">
      <c r="A11" s="1"/>
      <c r="B11" s="54" t="s">
        <v>44</v>
      </c>
      <c r="C11" s="9">
        <f>'Fane 10.1. Varige tillæg'!E15</f>
        <v>3883718.1152000003</v>
      </c>
      <c r="D11" s="8" t="s">
        <v>3</v>
      </c>
      <c r="E11" s="1"/>
    </row>
    <row r="12" spans="1:5" ht="17.100000000000001" customHeight="1" x14ac:dyDescent="0.25">
      <c r="A12" s="1"/>
      <c r="B12" s="54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4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4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4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4" t="s">
        <v>20</v>
      </c>
      <c r="C16" s="9">
        <f>SUM(C9:C15)*'Fane 14. Nøgletal'!C14</f>
        <v>864097.32386922068</v>
      </c>
      <c r="D16" s="8" t="s">
        <v>3</v>
      </c>
      <c r="E16" s="1"/>
    </row>
    <row r="17" spans="1:5" ht="17.100000000000001" customHeight="1" x14ac:dyDescent="0.25">
      <c r="A17" s="1"/>
      <c r="B17" s="54" t="s">
        <v>10</v>
      </c>
      <c r="C17" s="9">
        <f>-SUM(C9:C16)*'Fane 5. Individuelt eff. krav'!G12</f>
        <v>-2667472.1958135129</v>
      </c>
      <c r="D17" s="8" t="s">
        <v>3</v>
      </c>
      <c r="E17" s="1"/>
    </row>
    <row r="18" spans="1:5" ht="17.100000000000001" customHeight="1" x14ac:dyDescent="0.25">
      <c r="A18" s="1"/>
      <c r="B18" s="54" t="s">
        <v>26</v>
      </c>
      <c r="C18" s="9">
        <f>-'Fane 4.1. Gen. krav - drift'!G39</f>
        <v>-1885944.4821310637</v>
      </c>
      <c r="D18" s="8" t="s">
        <v>3</v>
      </c>
      <c r="E18" s="1"/>
    </row>
    <row r="19" spans="1:5" ht="17.100000000000001" customHeight="1" x14ac:dyDescent="0.25">
      <c r="A19" s="1"/>
      <c r="B19" s="54" t="s">
        <v>27</v>
      </c>
      <c r="C19" s="9">
        <f>-'Fane 4.2. Gen. krav - anlæg'!G37</f>
        <v>-2590794.5278850282</v>
      </c>
      <c r="D19" s="8" t="s">
        <v>3</v>
      </c>
      <c r="E19" s="1"/>
    </row>
    <row r="20" spans="1:5" ht="17.100000000000001" customHeight="1" x14ac:dyDescent="0.25">
      <c r="A20" s="1"/>
      <c r="B20" s="60" t="s">
        <v>22</v>
      </c>
      <c r="C20" s="10">
        <f>SUM(C9:C19)</f>
        <v>255567560.01780349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7501884.4245882407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60" t="s">
        <v>94</v>
      </c>
      <c r="C24" s="10">
        <f>'Fane 11. Periodevise driftsomk.'!E12</f>
        <v>972099.05975420796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4" t="s">
        <v>89</v>
      </c>
      <c r="C26" s="9">
        <f>'Fane 10.2. Engangstillæg'!C16</f>
        <v>1502871.9748292579</v>
      </c>
      <c r="D26" s="8" t="s">
        <v>3</v>
      </c>
      <c r="E26" s="1"/>
    </row>
    <row r="27" spans="1:5" ht="15" customHeight="1" x14ac:dyDescent="0.25">
      <c r="A27" s="1"/>
      <c r="B27" s="54" t="s">
        <v>90</v>
      </c>
      <c r="C27" s="9">
        <f>'Fane 10.2. Engangstillæg'!E16</f>
        <v>0</v>
      </c>
      <c r="D27" s="8" t="s">
        <v>3</v>
      </c>
      <c r="E27" s="1"/>
    </row>
    <row r="28" spans="1:5" x14ac:dyDescent="0.25">
      <c r="A28" s="1"/>
      <c r="B28" s="60" t="s">
        <v>95</v>
      </c>
      <c r="C28" s="10">
        <f>SUM(C26:C27)</f>
        <v>1502871.9748292579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288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7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265544415.4769752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SRRpNtk0XG2ulKHi+Imf3DaAhmv4mt+DiuFKKdYtWW3paY5hYkAHdaE0rw2G3ZWxfrxBq7A01/pE2BFSjBDQww==" saltValue="dvnpwzxMzVRluHtsIEYny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196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/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255567560.01780349</v>
      </c>
      <c r="D9" s="8" t="s">
        <v>3</v>
      </c>
      <c r="E9" s="1"/>
    </row>
    <row r="10" spans="1:5" ht="15" customHeight="1" x14ac:dyDescent="0.25">
      <c r="A10" s="1"/>
      <c r="B10" s="54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4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843372.94805875153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-2603495.9575785897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-1854324.7369436545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-2560873.8564096089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249392238.41493037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7526640.6431893827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driftsomk.'!E18</f>
        <v>975306.98665139696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Engangstillæg'!C24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Engangstillæg'!E24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288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7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257894186.04477113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zeBPpOlveTDAMAngCR/Ibfdx0MsoLun3XcvDIhZOuV1cSpM3nO7zpKk0gEa1ghzxk18fWTnpDpuXfKJlqsldcA==" saltValue="8TjZQdZU/shMdf+yCrM0J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3"/>
      <c r="C6" s="53"/>
      <c r="D6" s="53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249392238.41493037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822994.38676927018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-2540587.2502735313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-1823235.1284040574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-2531298.7339817514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243320111.6890403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7551478.5573119083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driftsomk.'!E24</f>
        <v>978525.49970734667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Engangstillæg'!C32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Engangstillæg'!E32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7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251850115.74605957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qP6V1cFxh5rAEMZARorrZ14bBbMzm88ikCTBDwAvyRzmwaKJIXG5+3kNDSnL0NskRU6+pnjMOpowEn6QHvRow==" saltValue="yUguxXinn7T2iQMEuF/3F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198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23</v>
      </c>
      <c r="C5" s="89"/>
      <c r="D5" s="89"/>
      <c r="E5" s="1"/>
    </row>
    <row r="6" spans="1:5" x14ac:dyDescent="0.25">
      <c r="A6" s="1"/>
      <c r="B6" s="53"/>
      <c r="C6" s="53"/>
      <c r="D6" s="53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243320111.6890403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802956.36857383302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-2478729.8009804427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-1792666.7682412353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-2502065.1699107932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237349606.31848168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7576398.4365510382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0" t="s">
        <v>94</v>
      </c>
      <c r="C20" s="10">
        <f>'Fane 11. Periodevise driftsomk.'!E30</f>
        <v>981754.63385638094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4" t="s">
        <v>89</v>
      </c>
      <c r="C22" s="9">
        <f>'Fane 10.2. Engangstillæg'!C40</f>
        <v>0</v>
      </c>
      <c r="D22" s="8" t="s">
        <v>3</v>
      </c>
      <c r="E22" s="1"/>
    </row>
    <row r="23" spans="1:5" ht="15" customHeight="1" x14ac:dyDescent="0.25">
      <c r="A23" s="1"/>
      <c r="B23" s="54" t="s">
        <v>90</v>
      </c>
      <c r="C23" s="9">
        <f>'Fane 10.2. Engangstillæg'!E40</f>
        <v>0</v>
      </c>
      <c r="D23" s="8" t="s">
        <v>3</v>
      </c>
      <c r="E23" s="1"/>
    </row>
    <row r="24" spans="1:5" ht="15" customHeight="1" x14ac:dyDescent="0.25">
      <c r="A24" s="1"/>
      <c r="B24" s="60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7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245907759.3888891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D3rHjZvidA6Qmy2jr/7i5igjnRSBUFxN2Eox5sR2Ng5MS3gPEUe6ISa98incv3zz+ftNnLQZRVDde2RGKwRQ5A==" saltValue="YAORxRJWicz4F1x8yvjA/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250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25">
      <c r="A9" s="1"/>
      <c r="B9" s="90" t="s">
        <v>25</v>
      </c>
      <c r="C9" s="91"/>
      <c r="D9" s="92"/>
      <c r="E9" s="7">
        <v>243839454.78668582</v>
      </c>
      <c r="F9" s="8" t="s">
        <v>3</v>
      </c>
      <c r="G9" s="1"/>
    </row>
    <row r="10" spans="1:7" ht="15" customHeight="1" x14ac:dyDescent="0.25">
      <c r="A10" s="1"/>
      <c r="B10" s="94" t="s">
        <v>43</v>
      </c>
      <c r="C10" s="95"/>
      <c r="D10" s="96"/>
      <c r="E10" s="7">
        <v>1055224.5732</v>
      </c>
      <c r="F10" s="8" t="s">
        <v>3</v>
      </c>
      <c r="G10" s="1"/>
    </row>
    <row r="11" spans="1:7" ht="15" customHeight="1" x14ac:dyDescent="0.25">
      <c r="A11" s="1"/>
      <c r="B11" s="94" t="s">
        <v>44</v>
      </c>
      <c r="C11" s="95"/>
      <c r="D11" s="96"/>
      <c r="E11" s="9">
        <v>16178889.4092</v>
      </c>
      <c r="F11" s="8" t="s">
        <v>3</v>
      </c>
      <c r="G11" s="1"/>
    </row>
    <row r="12" spans="1:7" ht="15" customHeight="1" x14ac:dyDescent="0.25">
      <c r="A12" s="1"/>
      <c r="B12" s="94" t="s">
        <v>29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90" t="s">
        <v>28</v>
      </c>
      <c r="C13" s="91"/>
      <c r="D13" s="92"/>
      <c r="E13" s="9">
        <v>0</v>
      </c>
      <c r="F13" s="8" t="s">
        <v>3</v>
      </c>
      <c r="G13" s="1"/>
    </row>
    <row r="14" spans="1:7" ht="15" customHeight="1" x14ac:dyDescent="0.25">
      <c r="A14" s="1"/>
      <c r="B14" s="90" t="s">
        <v>31</v>
      </c>
      <c r="C14" s="91"/>
      <c r="D14" s="92"/>
      <c r="E14" s="9">
        <v>0</v>
      </c>
      <c r="F14" s="8" t="s">
        <v>3</v>
      </c>
      <c r="G14" s="1"/>
    </row>
    <row r="15" spans="1:7" ht="15" customHeight="1" x14ac:dyDescent="0.25">
      <c r="A15" s="1"/>
      <c r="B15" s="90" t="s">
        <v>30</v>
      </c>
      <c r="C15" s="91"/>
      <c r="D15" s="92"/>
      <c r="E15" s="9">
        <v>0</v>
      </c>
      <c r="F15" s="8" t="s">
        <v>3</v>
      </c>
      <c r="G15" s="1"/>
    </row>
    <row r="16" spans="1:7" ht="15" customHeight="1" x14ac:dyDescent="0.25">
      <c r="A16" s="1"/>
      <c r="B16" s="90" t="s">
        <v>20</v>
      </c>
      <c r="C16" s="91"/>
      <c r="D16" s="92"/>
      <c r="E16" s="9">
        <v>5013893.4498829907</v>
      </c>
      <c r="F16" s="8" t="s">
        <v>3</v>
      </c>
      <c r="G16" s="1"/>
    </row>
    <row r="17" spans="1:7" ht="15" customHeight="1" x14ac:dyDescent="0.25">
      <c r="A17" s="1"/>
      <c r="B17" s="90" t="s">
        <v>10</v>
      </c>
      <c r="C17" s="91"/>
      <c r="D17" s="92"/>
      <c r="E17" s="9">
        <v>-2093986.046766615</v>
      </c>
      <c r="F17" s="8" t="s">
        <v>3</v>
      </c>
      <c r="G17" s="1"/>
    </row>
    <row r="18" spans="1:7" ht="15" customHeight="1" x14ac:dyDescent="0.25">
      <c r="A18" s="1"/>
      <c r="B18" s="90" t="s">
        <v>26</v>
      </c>
      <c r="C18" s="91"/>
      <c r="D18" s="92"/>
      <c r="E18" s="9">
        <f>-'Fane 4.1. Gen. krav - drift'!G33</f>
        <v>-1900905.3061358947</v>
      </c>
      <c r="F18" s="8" t="s">
        <v>3</v>
      </c>
      <c r="G18" s="1"/>
    </row>
    <row r="19" spans="1:7" ht="15" customHeight="1" x14ac:dyDescent="0.25">
      <c r="A19" s="1"/>
      <c r="B19" s="90" t="s">
        <v>27</v>
      </c>
      <c r="C19" s="91"/>
      <c r="D19" s="92"/>
      <c r="E19" s="9">
        <f>-'Fane 4.2. Gen. krav - anlæg'!G31</f>
        <v>-4971321.8670024723</v>
      </c>
      <c r="F19" s="8" t="s">
        <v>3</v>
      </c>
      <c r="G19" s="1"/>
    </row>
    <row r="20" spans="1:7" ht="15" customHeight="1" x14ac:dyDescent="0.25">
      <c r="A20" s="1"/>
      <c r="B20" s="60" t="s">
        <v>22</v>
      </c>
      <c r="C20" s="61"/>
      <c r="D20" s="68"/>
      <c r="E20" s="10">
        <f>SUM(E9:E19)</f>
        <v>257121248.99906385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7" t="s">
        <v>13</v>
      </c>
      <c r="C22" s="98"/>
      <c r="D22" s="99"/>
      <c r="E22" s="10">
        <v>6570931.69075392</v>
      </c>
      <c r="F22" s="11" t="s">
        <v>3</v>
      </c>
      <c r="G22" s="1"/>
    </row>
    <row r="23" spans="1:7" ht="15" customHeight="1" x14ac:dyDescent="0.25">
      <c r="A23" s="1"/>
      <c r="B23" s="100" t="s">
        <v>94</v>
      </c>
      <c r="C23" s="101"/>
      <c r="D23" s="102"/>
      <c r="E23" s="32"/>
      <c r="F23" s="32"/>
      <c r="G23" s="1"/>
    </row>
    <row r="24" spans="1:7" ht="15" customHeight="1" x14ac:dyDescent="0.25">
      <c r="A24" s="1"/>
      <c r="B24" s="60" t="s">
        <v>94</v>
      </c>
      <c r="C24" s="43"/>
      <c r="D24" s="44"/>
      <c r="E24" s="10">
        <v>989776.3811505537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4" t="s">
        <v>89</v>
      </c>
      <c r="C26" s="95"/>
      <c r="D26" s="96"/>
      <c r="E26" s="9">
        <v>3713551.0380964801</v>
      </c>
      <c r="F26" s="8" t="s">
        <v>3</v>
      </c>
      <c r="G26" s="1"/>
    </row>
    <row r="27" spans="1:7" ht="15" customHeight="1" x14ac:dyDescent="0.25">
      <c r="A27" s="1"/>
      <c r="B27" s="94" t="s">
        <v>90</v>
      </c>
      <c r="C27" s="95"/>
      <c r="D27" s="95"/>
      <c r="E27" s="9">
        <v>496873.40183712001</v>
      </c>
      <c r="F27" s="8" t="s">
        <v>3</v>
      </c>
      <c r="G27" s="1"/>
    </row>
    <row r="28" spans="1:7" ht="15" customHeight="1" x14ac:dyDescent="0.25">
      <c r="A28" s="1"/>
      <c r="B28" s="103" t="s">
        <v>95</v>
      </c>
      <c r="C28" s="104"/>
      <c r="D28" s="104"/>
      <c r="E28" s="45">
        <v>4089355.2951858067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7" t="s">
        <v>185</v>
      </c>
      <c r="C30" s="98"/>
      <c r="D30" s="98"/>
      <c r="E30" s="45">
        <v>-7564533.6382150352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7" t="s">
        <v>148</v>
      </c>
      <c r="C32" s="98"/>
      <c r="D32" s="99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261206778.7279391</v>
      </c>
      <c r="F33" s="13" t="s">
        <v>3</v>
      </c>
      <c r="G33" s="1"/>
    </row>
    <row r="34" spans="1:7" ht="27" customHeight="1" x14ac:dyDescent="0.25">
      <c r="A34" s="1"/>
      <c r="B34" s="90" t="s">
        <v>252</v>
      </c>
      <c r="C34" s="91"/>
      <c r="D34" s="91"/>
      <c r="E34" s="91"/>
      <c r="F34" s="92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GM84RO7vamHU9JXLfTSOt8UNvpxStZ3wEAkMoO3DG2D4PA3/Zuz9AGtOLPShrT/tsdEKXKDj2KgJHgfKy/Weg==" saltValue="oY4cuM0FCCUhJ9lVm/k6Fw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3" t="s">
        <v>130</v>
      </c>
      <c r="C2" s="93"/>
      <c r="D2" s="93"/>
      <c r="E2" s="93"/>
      <c r="F2" s="93"/>
      <c r="G2" s="93"/>
      <c r="H2" s="93"/>
      <c r="I2" s="1"/>
    </row>
    <row r="3" spans="1:9" ht="28.5" customHeight="1" x14ac:dyDescent="0.25">
      <c r="A3" s="1"/>
      <c r="B3" s="93"/>
      <c r="C3" s="93"/>
      <c r="D3" s="93"/>
      <c r="E3" s="93"/>
      <c r="F3" s="93"/>
      <c r="G3" s="93"/>
      <c r="H3" s="93"/>
      <c r="I3" s="1"/>
    </row>
    <row r="4" spans="1:9" x14ac:dyDescent="0.25">
      <c r="A4" s="1"/>
      <c r="B4" s="100" t="s">
        <v>56</v>
      </c>
      <c r="C4" s="101"/>
      <c r="D4" s="101"/>
      <c r="E4" s="101"/>
      <c r="F4" s="101"/>
      <c r="G4" s="101"/>
      <c r="H4" s="102"/>
      <c r="I4" s="1"/>
    </row>
    <row r="5" spans="1:9" x14ac:dyDescent="0.25">
      <c r="A5" s="1"/>
      <c r="B5" s="105" t="s">
        <v>45</v>
      </c>
      <c r="C5" s="106"/>
      <c r="D5" s="106"/>
      <c r="E5" s="106"/>
      <c r="F5" s="107"/>
      <c r="G5" s="24">
        <f>62354006+28870520</f>
        <v>91224526</v>
      </c>
      <c r="H5" s="14" t="s">
        <v>3</v>
      </c>
      <c r="I5" s="1"/>
    </row>
    <row r="6" spans="1:9" x14ac:dyDescent="0.25">
      <c r="A6" s="1"/>
      <c r="B6" s="90" t="s">
        <v>145</v>
      </c>
      <c r="C6" s="91"/>
      <c r="D6" s="91"/>
      <c r="E6" s="91"/>
      <c r="F6" s="92"/>
      <c r="G6" s="52">
        <v>0</v>
      </c>
      <c r="H6" s="14" t="s">
        <v>3</v>
      </c>
      <c r="I6" s="1"/>
    </row>
    <row r="7" spans="1:9" x14ac:dyDescent="0.25">
      <c r="A7" s="1"/>
      <c r="B7" s="105" t="s">
        <v>46</v>
      </c>
      <c r="C7" s="106"/>
      <c r="D7" s="106"/>
      <c r="E7" s="106"/>
      <c r="F7" s="107"/>
      <c r="G7" s="24">
        <f>SUM(G5:G6)*'Fane 14. Nøgletal'!C29</f>
        <v>1824490.52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0" t="s">
        <v>57</v>
      </c>
      <c r="C10" s="101"/>
      <c r="D10" s="101"/>
      <c r="E10" s="101"/>
      <c r="F10" s="101"/>
      <c r="G10" s="101"/>
      <c r="H10" s="102"/>
      <c r="I10" s="1"/>
    </row>
    <row r="11" spans="1:9" x14ac:dyDescent="0.25">
      <c r="A11" s="1"/>
      <c r="B11" s="105" t="s">
        <v>47</v>
      </c>
      <c r="C11" s="106"/>
      <c r="D11" s="106"/>
      <c r="E11" s="106"/>
      <c r="F11" s="107"/>
      <c r="G11" s="24">
        <f>(G5-G7)*(1+'Fane 14. Nøgletal'!C10)</f>
        <v>90964536.100900009</v>
      </c>
      <c r="H11" s="14" t="s">
        <v>3</v>
      </c>
      <c r="I11" s="1"/>
    </row>
    <row r="12" spans="1:9" ht="15" customHeight="1" x14ac:dyDescent="0.25">
      <c r="A12" s="1"/>
      <c r="B12" s="105" t="s">
        <v>146</v>
      </c>
      <c r="C12" s="106"/>
      <c r="D12" s="106"/>
      <c r="E12" s="106"/>
      <c r="F12" s="107"/>
      <c r="G12" s="24">
        <v>-960275</v>
      </c>
      <c r="H12" s="14" t="s">
        <v>3</v>
      </c>
      <c r="I12" s="1"/>
    </row>
    <row r="13" spans="1:9" x14ac:dyDescent="0.25">
      <c r="A13" s="1"/>
      <c r="B13" s="90" t="s">
        <v>143</v>
      </c>
      <c r="C13" s="91"/>
      <c r="D13" s="91"/>
      <c r="E13" s="91"/>
      <c r="F13" s="92"/>
      <c r="G13" s="24">
        <v>960273.76500000001</v>
      </c>
      <c r="H13" s="14" t="s">
        <v>3</v>
      </c>
      <c r="I13" s="1"/>
    </row>
    <row r="14" spans="1:9" x14ac:dyDescent="0.25">
      <c r="A14" s="1"/>
      <c r="B14" s="111" t="s">
        <v>48</v>
      </c>
      <c r="C14" s="112"/>
      <c r="D14" s="112"/>
      <c r="E14" s="112"/>
      <c r="F14" s="113"/>
      <c r="G14" s="52">
        <v>0</v>
      </c>
      <c r="H14" s="14" t="s">
        <v>3</v>
      </c>
      <c r="I14" s="1"/>
    </row>
    <row r="15" spans="1:9" x14ac:dyDescent="0.25">
      <c r="A15" s="1"/>
      <c r="B15" s="105" t="s">
        <v>49</v>
      </c>
      <c r="C15" s="106"/>
      <c r="D15" s="106"/>
      <c r="E15" s="106"/>
      <c r="F15" s="107"/>
      <c r="G15" s="24">
        <f>SUM(G11:G14)*'Fane 14. Nøgletal'!C29</f>
        <v>1819290.6973180003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00" t="s">
        <v>58</v>
      </c>
      <c r="C18" s="101"/>
      <c r="D18" s="101"/>
      <c r="E18" s="101"/>
      <c r="F18" s="101"/>
      <c r="G18" s="101"/>
      <c r="H18" s="102"/>
      <c r="I18" s="1"/>
    </row>
    <row r="19" spans="1:9" x14ac:dyDescent="0.25">
      <c r="A19" s="1"/>
      <c r="B19" s="105" t="s">
        <v>50</v>
      </c>
      <c r="C19" s="106"/>
      <c r="D19" s="106"/>
      <c r="E19" s="106"/>
      <c r="F19" s="107"/>
      <c r="G19" s="24">
        <f>(SUM(G11:G12,G14)-(G15))*(1+'Fane 14. Nøgletal'!C10)</f>
        <v>89728207.385644704</v>
      </c>
      <c r="H19" s="14" t="s">
        <v>3</v>
      </c>
      <c r="I19" s="1"/>
    </row>
    <row r="20" spans="1:9" x14ac:dyDescent="0.25">
      <c r="A20" s="1"/>
      <c r="B20" s="111" t="s">
        <v>51</v>
      </c>
      <c r="C20" s="112"/>
      <c r="D20" s="112"/>
      <c r="E20" s="112"/>
      <c r="F20" s="113"/>
      <c r="G20" s="24">
        <v>146329.31832865998</v>
      </c>
      <c r="H20" s="14" t="s">
        <v>3</v>
      </c>
      <c r="I20" s="1"/>
    </row>
    <row r="21" spans="1:9" x14ac:dyDescent="0.25">
      <c r="A21" s="1"/>
      <c r="B21" s="105" t="s">
        <v>52</v>
      </c>
      <c r="C21" s="106"/>
      <c r="D21" s="106"/>
      <c r="E21" s="106"/>
      <c r="F21" s="107"/>
      <c r="G21" s="24">
        <f>SUM(G19:G20)*'Fane 14. Nøgletal'!C29</f>
        <v>1797490.7340794674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0" t="s">
        <v>59</v>
      </c>
      <c r="C24" s="101"/>
      <c r="D24" s="101"/>
      <c r="E24" s="101"/>
      <c r="F24" s="101"/>
      <c r="G24" s="101"/>
      <c r="H24" s="102"/>
      <c r="I24" s="1"/>
    </row>
    <row r="25" spans="1:9" x14ac:dyDescent="0.25">
      <c r="A25" s="1"/>
      <c r="B25" s="105" t="s">
        <v>53</v>
      </c>
      <c r="C25" s="106"/>
      <c r="D25" s="106"/>
      <c r="E25" s="106"/>
      <c r="F25" s="107"/>
      <c r="G25" s="24">
        <f>(G19+G20-G21)*(1+'Fane 14. Nøgletal'!C12)</f>
        <v>89812163.775500819</v>
      </c>
      <c r="H25" s="14" t="s">
        <v>3</v>
      </c>
      <c r="I25" s="1"/>
    </row>
    <row r="26" spans="1:9" x14ac:dyDescent="0.25">
      <c r="A26" s="1"/>
      <c r="B26" s="111" t="s">
        <v>54</v>
      </c>
      <c r="C26" s="112"/>
      <c r="D26" s="112"/>
      <c r="E26" s="112"/>
      <c r="F26" s="113"/>
      <c r="G26" s="24">
        <v>4230268.6664155507</v>
      </c>
      <c r="H26" s="14" t="s">
        <v>3</v>
      </c>
      <c r="I26" s="1"/>
    </row>
    <row r="27" spans="1:9" x14ac:dyDescent="0.25">
      <c r="A27" s="1"/>
      <c r="B27" s="105" t="s">
        <v>55</v>
      </c>
      <c r="C27" s="106"/>
      <c r="D27" s="106"/>
      <c r="E27" s="106"/>
      <c r="F27" s="107"/>
      <c r="G27" s="24">
        <f>(G25+G26)*'Fane 14. Nøgletal'!C29</f>
        <v>1880848.6488383275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00" t="s">
        <v>62</v>
      </c>
      <c r="C30" s="101"/>
      <c r="D30" s="101"/>
      <c r="E30" s="101"/>
      <c r="F30" s="101"/>
      <c r="G30" s="101"/>
      <c r="H30" s="102"/>
      <c r="I30" s="1"/>
    </row>
    <row r="31" spans="1:9" x14ac:dyDescent="0.25">
      <c r="A31" s="1"/>
      <c r="B31" s="105" t="s">
        <v>63</v>
      </c>
      <c r="C31" s="106"/>
      <c r="D31" s="106"/>
      <c r="E31" s="106"/>
      <c r="F31" s="107"/>
      <c r="G31" s="24">
        <f>(G25+G26-G27)*(1+'Fane 14. Nøgletal'!C12)</f>
        <v>93977166.993801698</v>
      </c>
      <c r="H31" s="14" t="s">
        <v>3</v>
      </c>
      <c r="I31" s="1"/>
    </row>
    <row r="32" spans="1:9" x14ac:dyDescent="0.25">
      <c r="A32" s="1"/>
      <c r="B32" s="105" t="s">
        <v>171</v>
      </c>
      <c r="C32" s="106"/>
      <c r="D32" s="106"/>
      <c r="E32" s="106"/>
      <c r="F32" s="107"/>
      <c r="G32" s="24">
        <v>1068098.3129930401</v>
      </c>
      <c r="H32" s="14" t="s">
        <v>3</v>
      </c>
      <c r="I32" s="1"/>
    </row>
    <row r="33" spans="1:9" x14ac:dyDescent="0.25">
      <c r="A33" s="1"/>
      <c r="B33" s="105" t="s">
        <v>64</v>
      </c>
      <c r="C33" s="106"/>
      <c r="D33" s="106"/>
      <c r="E33" s="106"/>
      <c r="F33" s="107"/>
      <c r="G33" s="24">
        <f>(G31+G32)*'Fane 14. Nøgletal'!C29</f>
        <v>1900905.3061358947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00" t="s">
        <v>232</v>
      </c>
      <c r="C36" s="101"/>
      <c r="D36" s="101"/>
      <c r="E36" s="101"/>
      <c r="F36" s="101"/>
      <c r="G36" s="101"/>
      <c r="H36" s="102"/>
      <c r="I36" s="1"/>
    </row>
    <row r="37" spans="1:9" x14ac:dyDescent="0.25">
      <c r="A37" s="1"/>
      <c r="B37" s="105" t="s">
        <v>84</v>
      </c>
      <c r="C37" s="106"/>
      <c r="D37" s="106"/>
      <c r="E37" s="106"/>
      <c r="F37" s="107"/>
      <c r="G37" s="24">
        <f>(G31+G32-G33)*(1+'Fane 14. Nøgletal'!C14)</f>
        <v>93451736.388661027</v>
      </c>
      <c r="H37" s="14" t="s">
        <v>3</v>
      </c>
      <c r="I37" s="1"/>
    </row>
    <row r="38" spans="1:9" x14ac:dyDescent="0.25">
      <c r="A38" s="1"/>
      <c r="B38" s="105" t="s">
        <v>236</v>
      </c>
      <c r="C38" s="106"/>
      <c r="D38" s="106"/>
      <c r="E38" s="106"/>
      <c r="F38" s="107"/>
      <c r="G38" s="24">
        <f>SUM('Fane 2.1. Økonomisk ramme 2022'!C10,'Fane 2.1. Økonomisk ramme 2022'!C12,'Fane 2.1. Økonomisk ramme 2022'!C14)*(1+'Fane 14. Nøgletal'!C14)</f>
        <v>845487.71789215016</v>
      </c>
      <c r="H38" s="14" t="s">
        <v>3</v>
      </c>
      <c r="I38" s="1"/>
    </row>
    <row r="39" spans="1:9" x14ac:dyDescent="0.25">
      <c r="A39" s="1"/>
      <c r="B39" s="105" t="s">
        <v>234</v>
      </c>
      <c r="C39" s="106"/>
      <c r="D39" s="106"/>
      <c r="E39" s="106"/>
      <c r="F39" s="107"/>
      <c r="G39" s="24">
        <f>(G37+G38)*'Fane 14. Nøgletal'!C29</f>
        <v>1885944.4821310637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00" t="s">
        <v>233</v>
      </c>
      <c r="C42" s="101"/>
      <c r="D42" s="101"/>
      <c r="E42" s="101"/>
      <c r="F42" s="101"/>
      <c r="G42" s="101"/>
      <c r="H42" s="102"/>
      <c r="I42" s="1"/>
    </row>
    <row r="43" spans="1:9" x14ac:dyDescent="0.25">
      <c r="A43" s="1"/>
      <c r="B43" s="105" t="s">
        <v>83</v>
      </c>
      <c r="C43" s="106"/>
      <c r="D43" s="106"/>
      <c r="E43" s="106"/>
      <c r="F43" s="107"/>
      <c r="G43" s="24">
        <f>(G37+G38-G39)*(1+'Fane 14. Nøgletal'!C14)</f>
        <v>92716236.847182721</v>
      </c>
      <c r="H43" s="14" t="s">
        <v>3</v>
      </c>
      <c r="I43" s="1"/>
    </row>
    <row r="44" spans="1:9" x14ac:dyDescent="0.25">
      <c r="A44" s="1"/>
      <c r="B44" s="108" t="s">
        <v>237</v>
      </c>
      <c r="C44" s="109"/>
      <c r="D44" s="109"/>
      <c r="E44" s="109"/>
      <c r="F44" s="110"/>
      <c r="G44" s="24">
        <f>G38*(1+'Fane 14. Nøgletal'!C14)</f>
        <v>848277.8273611943</v>
      </c>
      <c r="H44" s="14" t="s">
        <v>3</v>
      </c>
      <c r="I44" s="1"/>
    </row>
    <row r="45" spans="1:9" x14ac:dyDescent="0.25">
      <c r="A45" s="1"/>
      <c r="B45" s="105" t="s">
        <v>97</v>
      </c>
      <c r="C45" s="106"/>
      <c r="D45" s="106"/>
      <c r="E45" s="106"/>
      <c r="F45" s="107"/>
      <c r="G45" s="52">
        <f>-'Fane 13. Bortfald'!C18*(1+'Fane 14. Nøgletal'!C14)</f>
        <v>0</v>
      </c>
      <c r="H45" s="14" t="s">
        <v>3</v>
      </c>
      <c r="I45" s="1"/>
    </row>
    <row r="46" spans="1:9" x14ac:dyDescent="0.25">
      <c r="A46" s="1"/>
      <c r="B46" s="105" t="s">
        <v>235</v>
      </c>
      <c r="C46" s="106"/>
      <c r="D46" s="106"/>
      <c r="E46" s="106"/>
      <c r="F46" s="107"/>
      <c r="G46" s="24">
        <f>(G43+G45)*'Fane 14. Nøgletal'!C29</f>
        <v>1854324.7369436545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0" t="s">
        <v>172</v>
      </c>
      <c r="C51" s="101"/>
      <c r="D51" s="101"/>
      <c r="E51" s="101"/>
      <c r="F51" s="101"/>
      <c r="G51" s="101"/>
      <c r="H51" s="102"/>
      <c r="I51" s="1"/>
    </row>
    <row r="52" spans="1:9" x14ac:dyDescent="0.25">
      <c r="A52" s="1"/>
      <c r="B52" s="105" t="s">
        <v>173</v>
      </c>
      <c r="C52" s="106"/>
      <c r="D52" s="106"/>
      <c r="E52" s="106"/>
      <c r="F52" s="107"/>
      <c r="G52" s="24">
        <f>(G43+G45-G46)*(1+'Fane 14. Nøgletal'!C14)</f>
        <v>91161756.420202866</v>
      </c>
      <c r="H52" s="14" t="s">
        <v>3</v>
      </c>
      <c r="I52" s="1"/>
    </row>
    <row r="53" spans="1:9" x14ac:dyDescent="0.25">
      <c r="A53" s="1"/>
      <c r="B53" s="105" t="s">
        <v>174</v>
      </c>
      <c r="C53" s="106"/>
      <c r="D53" s="106"/>
      <c r="E53" s="106"/>
      <c r="F53" s="107"/>
      <c r="G53" s="52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5" t="s">
        <v>175</v>
      </c>
      <c r="C54" s="106"/>
      <c r="D54" s="106"/>
      <c r="E54" s="106"/>
      <c r="F54" s="107"/>
      <c r="G54" s="24">
        <f>(G52+G53)*'Fane 14. Nøgletal'!C29</f>
        <v>1823235.1284040574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00" t="s">
        <v>201</v>
      </c>
      <c r="C57" s="101"/>
      <c r="D57" s="101"/>
      <c r="E57" s="101"/>
      <c r="F57" s="101"/>
      <c r="G57" s="101"/>
      <c r="H57" s="102"/>
      <c r="I57" s="1"/>
    </row>
    <row r="58" spans="1:9" x14ac:dyDescent="0.25">
      <c r="A58" s="1"/>
      <c r="B58" s="63" t="s">
        <v>202</v>
      </c>
      <c r="C58" s="64"/>
      <c r="D58" s="64"/>
      <c r="E58" s="64"/>
      <c r="F58" s="65"/>
      <c r="G58" s="24">
        <f>(G52+G53-G54)*(1+'Fane 14. Nøgletal'!C14)</f>
        <v>89633338.412061766</v>
      </c>
      <c r="H58" s="14" t="s">
        <v>3</v>
      </c>
      <c r="I58" s="1"/>
    </row>
    <row r="59" spans="1:9" x14ac:dyDescent="0.25">
      <c r="A59" s="1"/>
      <c r="B59" s="63" t="s">
        <v>203</v>
      </c>
      <c r="C59" s="64"/>
      <c r="D59" s="64"/>
      <c r="E59" s="64"/>
      <c r="F59" s="65"/>
      <c r="G59" s="52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3" t="s">
        <v>204</v>
      </c>
      <c r="C60" s="64"/>
      <c r="D60" s="64"/>
      <c r="E60" s="64"/>
      <c r="F60" s="65"/>
      <c r="G60" s="24">
        <f>(G58+G59)*'Fane 14. Nøgletal'!C29</f>
        <v>1792666.7682412353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orWNafsWXCvS4spkc8dkX0K7C84cpk4zo5mKI6ws746wkoW06gp0tc3CHjl7DDm5shZUx0nMhY1efEGA1A2IIw==" saltValue="u89VSogqqZpO8peRcGxA/g==" spinCount="100000" sheet="1" objects="1" scenarios="1"/>
  <mergeCells count="37">
    <mergeCell ref="B11:F11"/>
    <mergeCell ref="B10:H10"/>
    <mergeCell ref="B6:F6"/>
    <mergeCell ref="B2:H3"/>
    <mergeCell ref="B24:H24"/>
    <mergeCell ref="B4:H4"/>
    <mergeCell ref="B5:F5"/>
    <mergeCell ref="B7:F7"/>
    <mergeCell ref="B12:F12"/>
    <mergeCell ref="B13:F13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57:H5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54:F5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4" t="s">
        <v>131</v>
      </c>
      <c r="C1" s="114"/>
      <c r="D1" s="114"/>
      <c r="E1" s="114"/>
      <c r="F1" s="114"/>
      <c r="G1" s="114"/>
      <c r="H1" s="114"/>
      <c r="I1" s="1"/>
    </row>
    <row r="2" spans="1:9" ht="15" customHeight="1" x14ac:dyDescent="0.25">
      <c r="A2" s="1"/>
      <c r="B2" s="114"/>
      <c r="C2" s="114"/>
      <c r="D2" s="114"/>
      <c r="E2" s="114"/>
      <c r="F2" s="114"/>
      <c r="G2" s="114"/>
      <c r="H2" s="114"/>
      <c r="I2" s="1"/>
    </row>
    <row r="3" spans="1:9" ht="15" customHeight="1" x14ac:dyDescent="0.25">
      <c r="A3" s="1"/>
      <c r="B3" s="115"/>
      <c r="C3" s="115"/>
      <c r="D3" s="115"/>
      <c r="E3" s="115"/>
      <c r="F3" s="115"/>
      <c r="G3" s="115"/>
      <c r="H3" s="115"/>
      <c r="I3" s="1"/>
    </row>
    <row r="4" spans="1:9" x14ac:dyDescent="0.25">
      <c r="A4" s="1"/>
      <c r="B4" s="100" t="s">
        <v>60</v>
      </c>
      <c r="C4" s="101"/>
      <c r="D4" s="101"/>
      <c r="E4" s="101"/>
      <c r="F4" s="101"/>
      <c r="G4" s="101"/>
      <c r="H4" s="102"/>
      <c r="I4" s="1"/>
    </row>
    <row r="5" spans="1:9" x14ac:dyDescent="0.25">
      <c r="A5" s="1"/>
      <c r="B5" s="105" t="s">
        <v>65</v>
      </c>
      <c r="C5" s="106"/>
      <c r="D5" s="106"/>
      <c r="E5" s="106"/>
      <c r="F5" s="107"/>
      <c r="G5" s="24">
        <f>55256914+98529430</f>
        <v>153786344</v>
      </c>
      <c r="H5" s="14" t="s">
        <v>3</v>
      </c>
      <c r="I5" s="1"/>
    </row>
    <row r="6" spans="1:9" x14ac:dyDescent="0.25">
      <c r="A6" s="1"/>
      <c r="B6" s="105" t="s">
        <v>61</v>
      </c>
      <c r="C6" s="106"/>
      <c r="D6" s="106"/>
      <c r="E6" s="106"/>
      <c r="F6" s="107"/>
      <c r="G6" s="24">
        <f>G5*'Fane 14. Nøgletal'!C19</f>
        <v>1399455.7304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00" t="s">
        <v>66</v>
      </c>
      <c r="C9" s="101"/>
      <c r="D9" s="101"/>
      <c r="E9" s="101"/>
      <c r="F9" s="101"/>
      <c r="G9" s="101"/>
      <c r="H9" s="102"/>
      <c r="I9" s="1"/>
    </row>
    <row r="10" spans="1:9" x14ac:dyDescent="0.25">
      <c r="A10" s="1"/>
      <c r="B10" s="105" t="s">
        <v>67</v>
      </c>
      <c r="C10" s="106"/>
      <c r="D10" s="106"/>
      <c r="E10" s="106"/>
      <c r="F10" s="107"/>
      <c r="G10" s="24">
        <f>(G5-G6)*(1+'Fane 14. Nøgletal'!C10)</f>
        <v>155053658.814318</v>
      </c>
      <c r="H10" s="14" t="s">
        <v>3</v>
      </c>
      <c r="I10" s="1"/>
    </row>
    <row r="11" spans="1:9" x14ac:dyDescent="0.25">
      <c r="A11" s="1"/>
      <c r="B11" s="105" t="s">
        <v>147</v>
      </c>
      <c r="C11" s="106"/>
      <c r="D11" s="106"/>
      <c r="E11" s="106"/>
      <c r="F11" s="107"/>
      <c r="G11" s="24">
        <v>-839590</v>
      </c>
      <c r="H11" s="14" t="s">
        <v>3</v>
      </c>
      <c r="I11" s="1"/>
    </row>
    <row r="12" spans="1:9" x14ac:dyDescent="0.25">
      <c r="A12" s="1"/>
      <c r="B12" s="111" t="s">
        <v>68</v>
      </c>
      <c r="C12" s="112"/>
      <c r="D12" s="112"/>
      <c r="E12" s="112"/>
      <c r="F12" s="113"/>
      <c r="G12" s="52">
        <v>0</v>
      </c>
      <c r="H12" s="14" t="s">
        <v>3</v>
      </c>
      <c r="I12" s="1"/>
    </row>
    <row r="13" spans="1:9" x14ac:dyDescent="0.25">
      <c r="A13" s="1"/>
      <c r="B13" s="105" t="s">
        <v>69</v>
      </c>
      <c r="C13" s="106"/>
      <c r="D13" s="106"/>
      <c r="E13" s="106"/>
      <c r="F13" s="107"/>
      <c r="G13" s="24">
        <f>SUM(G10:G12)*'Fane 14. Nøgletal'!C20</f>
        <v>2729589.0180134289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0" t="s">
        <v>70</v>
      </c>
      <c r="C16" s="101"/>
      <c r="D16" s="101"/>
      <c r="E16" s="101"/>
      <c r="F16" s="101"/>
      <c r="G16" s="101"/>
      <c r="H16" s="102"/>
      <c r="I16" s="1"/>
    </row>
    <row r="17" spans="1:9" x14ac:dyDescent="0.25">
      <c r="A17" s="1"/>
      <c r="B17" s="105" t="s">
        <v>71</v>
      </c>
      <c r="C17" s="106"/>
      <c r="D17" s="106"/>
      <c r="E17" s="106"/>
      <c r="F17" s="107"/>
      <c r="G17" s="24">
        <f>(SUM(G10:G12)-G13)*(1+'Fane 14. Nøgletal'!C10)</f>
        <v>154135458.19273993</v>
      </c>
      <c r="H17" s="14" t="s">
        <v>3</v>
      </c>
      <c r="I17" s="1"/>
    </row>
    <row r="18" spans="1:9" x14ac:dyDescent="0.25">
      <c r="A18" s="1"/>
      <c r="B18" s="111" t="s">
        <v>72</v>
      </c>
      <c r="C18" s="112"/>
      <c r="D18" s="112"/>
      <c r="E18" s="112"/>
      <c r="F18" s="113"/>
      <c r="G18" s="24">
        <v>3323768.3085180991</v>
      </c>
      <c r="H18" s="14" t="s">
        <v>3</v>
      </c>
      <c r="I18" s="1"/>
    </row>
    <row r="19" spans="1:9" x14ac:dyDescent="0.25">
      <c r="A19" s="1"/>
      <c r="B19" s="105" t="s">
        <v>73</v>
      </c>
      <c r="C19" s="106"/>
      <c r="D19" s="106"/>
      <c r="E19" s="106"/>
      <c r="F19" s="107"/>
      <c r="G19" s="24">
        <f>G17*'Fane 14. Nøgletal'!C20+G18*'Fane 14. Nøgletal'!C21</f>
        <v>2757114.3942956044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00" t="s">
        <v>74</v>
      </c>
      <c r="C22" s="101"/>
      <c r="D22" s="101"/>
      <c r="E22" s="101"/>
      <c r="F22" s="101"/>
      <c r="G22" s="101"/>
      <c r="H22" s="102"/>
      <c r="I22" s="1"/>
    </row>
    <row r="23" spans="1:9" x14ac:dyDescent="0.25">
      <c r="A23" s="1"/>
      <c r="B23" s="105" t="s">
        <v>75</v>
      </c>
      <c r="C23" s="106"/>
      <c r="D23" s="106"/>
      <c r="E23" s="106"/>
      <c r="F23" s="107"/>
      <c r="G23" s="24">
        <f>(G17+G18-G19)*(1+'Fane 14. Nøgletal'!C12)</f>
        <v>157749743.7154696</v>
      </c>
      <c r="H23" s="14" t="s">
        <v>3</v>
      </c>
      <c r="I23" s="1"/>
    </row>
    <row r="24" spans="1:9" x14ac:dyDescent="0.25">
      <c r="A24" s="1"/>
      <c r="B24" s="111" t="s">
        <v>76</v>
      </c>
      <c r="C24" s="112"/>
      <c r="D24" s="112"/>
      <c r="E24" s="112"/>
      <c r="F24" s="113"/>
      <c r="G24" s="24">
        <v>2927281.09677003</v>
      </c>
      <c r="H24" s="14" t="s">
        <v>3</v>
      </c>
      <c r="I24" s="1"/>
    </row>
    <row r="25" spans="1:9" x14ac:dyDescent="0.25">
      <c r="A25" s="1"/>
      <c r="B25" s="105" t="s">
        <v>77</v>
      </c>
      <c r="C25" s="106"/>
      <c r="D25" s="106"/>
      <c r="E25" s="106"/>
      <c r="F25" s="107"/>
      <c r="G25" s="24">
        <f>(G23+G24)*'Fane 14. Nøgletal'!C22</f>
        <v>4563227.5046676053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00" t="s">
        <v>78</v>
      </c>
      <c r="C28" s="101"/>
      <c r="D28" s="101"/>
      <c r="E28" s="101"/>
      <c r="F28" s="101"/>
      <c r="G28" s="101"/>
      <c r="H28" s="102"/>
      <c r="I28" s="1"/>
    </row>
    <row r="29" spans="1:9" x14ac:dyDescent="0.25">
      <c r="A29" s="1"/>
      <c r="B29" s="105" t="s">
        <v>79</v>
      </c>
      <c r="C29" s="106"/>
      <c r="D29" s="106"/>
      <c r="E29" s="106"/>
      <c r="F29" s="107"/>
      <c r="G29" s="24">
        <f>(G23+G24-G25)*(1+'Fane 14. Nøgletal'!C12)</f>
        <v>159189239.11453119</v>
      </c>
      <c r="H29" s="14" t="s">
        <v>3</v>
      </c>
      <c r="I29" s="1"/>
    </row>
    <row r="30" spans="1:9" x14ac:dyDescent="0.25">
      <c r="A30" s="1"/>
      <c r="B30" s="105" t="s">
        <v>176</v>
      </c>
      <c r="C30" s="106"/>
      <c r="D30" s="106"/>
      <c r="E30" s="106"/>
      <c r="F30" s="107"/>
      <c r="G30" s="24">
        <v>16376271.85999224</v>
      </c>
      <c r="H30" s="14" t="s">
        <v>3</v>
      </c>
      <c r="I30" s="1"/>
    </row>
    <row r="31" spans="1:9" x14ac:dyDescent="0.25">
      <c r="A31" s="1"/>
      <c r="B31" s="105" t="s">
        <v>80</v>
      </c>
      <c r="C31" s="106"/>
      <c r="D31" s="106"/>
      <c r="E31" s="106"/>
      <c r="F31" s="107"/>
      <c r="G31" s="24">
        <f>G29*'Fane 14. Nøgletal'!C22+G30*'Fane 14. Nøgletal'!C23</f>
        <v>4971321.8670024723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00" t="s">
        <v>238</v>
      </c>
      <c r="C34" s="101"/>
      <c r="D34" s="101"/>
      <c r="E34" s="101"/>
      <c r="F34" s="101"/>
      <c r="G34" s="101"/>
      <c r="H34" s="102"/>
      <c r="I34" s="1"/>
    </row>
    <row r="35" spans="1:9" x14ac:dyDescent="0.25">
      <c r="A35" s="1"/>
      <c r="B35" s="105" t="s">
        <v>82</v>
      </c>
      <c r="C35" s="106"/>
      <c r="D35" s="106"/>
      <c r="E35" s="106"/>
      <c r="F35" s="107"/>
      <c r="G35" s="24">
        <f>(G29+G30-G31)*(1+'Fane 14. Nøgletal'!C14)</f>
        <v>171157149.93157578</v>
      </c>
      <c r="H35" s="14" t="s">
        <v>3</v>
      </c>
      <c r="I35" s="1"/>
    </row>
    <row r="36" spans="1:9" x14ac:dyDescent="0.25">
      <c r="A36" s="1"/>
      <c r="B36" s="105" t="s">
        <v>240</v>
      </c>
      <c r="C36" s="106"/>
      <c r="D36" s="106"/>
      <c r="E36" s="106"/>
      <c r="F36" s="107"/>
      <c r="G36" s="24">
        <f>SUM('Fane 2.1. Økonomisk ramme 2022'!C11,'Fane 2.1. Økonomisk ramme 2022'!C13,'Fane 2.1. Økonomisk ramme 2022'!C15)*(1+'Fane 14. Nøgletal'!C14)</f>
        <v>3896534.3849801607</v>
      </c>
      <c r="H36" s="14" t="s">
        <v>3</v>
      </c>
      <c r="I36" s="1"/>
    </row>
    <row r="37" spans="1:9" x14ac:dyDescent="0.25">
      <c r="A37" s="1"/>
      <c r="B37" s="105" t="s">
        <v>239</v>
      </c>
      <c r="C37" s="106"/>
      <c r="D37" s="106"/>
      <c r="E37" s="106"/>
      <c r="F37" s="107"/>
      <c r="G37" s="24">
        <f>(G35+G36)*'Fane 14. Nøgletal'!C24</f>
        <v>2590794.5278850282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00" t="s">
        <v>85</v>
      </c>
      <c r="C40" s="101"/>
      <c r="D40" s="101"/>
      <c r="E40" s="101"/>
      <c r="F40" s="101"/>
      <c r="G40" s="101"/>
      <c r="H40" s="102"/>
      <c r="I40" s="1"/>
    </row>
    <row r="41" spans="1:9" x14ac:dyDescent="0.25">
      <c r="A41" s="1"/>
      <c r="B41" s="105" t="s">
        <v>81</v>
      </c>
      <c r="C41" s="106"/>
      <c r="D41" s="106"/>
      <c r="E41" s="106"/>
      <c r="F41" s="107"/>
      <c r="G41" s="24">
        <f>(G35+G36-G37)*(1+'Fane 14. Nøgletal'!C14)</f>
        <v>173032017.32497355</v>
      </c>
      <c r="H41" s="14" t="s">
        <v>3</v>
      </c>
      <c r="I41" s="1"/>
    </row>
    <row r="42" spans="1:9" x14ac:dyDescent="0.25">
      <c r="A42" s="1"/>
      <c r="B42" s="47" t="s">
        <v>242</v>
      </c>
      <c r="C42" s="64"/>
      <c r="D42" s="64"/>
      <c r="E42" s="64"/>
      <c r="F42" s="65"/>
      <c r="G42" s="24">
        <f>G36*(1+'Fane 14. Nøgletal'!C14)</f>
        <v>3909392.9484505956</v>
      </c>
      <c r="H42" s="14" t="s">
        <v>3</v>
      </c>
      <c r="I42" s="1"/>
    </row>
    <row r="43" spans="1:9" x14ac:dyDescent="0.25">
      <c r="A43" s="1"/>
      <c r="B43" s="105" t="s">
        <v>101</v>
      </c>
      <c r="C43" s="106"/>
      <c r="D43" s="106"/>
      <c r="E43" s="106"/>
      <c r="F43" s="107"/>
      <c r="G43" s="52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5" t="s">
        <v>241</v>
      </c>
      <c r="C44" s="106"/>
      <c r="D44" s="106"/>
      <c r="E44" s="106"/>
      <c r="F44" s="107"/>
      <c r="G44" s="24">
        <f>(G41+G43)*'Fane 14. Nøgletal'!C24</f>
        <v>2560873.8564096089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00" t="s">
        <v>181</v>
      </c>
      <c r="C52" s="101"/>
      <c r="D52" s="101"/>
      <c r="E52" s="101"/>
      <c r="F52" s="101"/>
      <c r="G52" s="101"/>
      <c r="H52" s="102"/>
      <c r="I52" s="1"/>
    </row>
    <row r="53" spans="1:9" x14ac:dyDescent="0.25">
      <c r="A53" s="1"/>
      <c r="B53" s="105" t="s">
        <v>182</v>
      </c>
      <c r="C53" s="106"/>
      <c r="D53" s="106"/>
      <c r="E53" s="106"/>
      <c r="F53" s="107"/>
      <c r="G53" s="24">
        <f>(G41+G43-G44)*(1+'Fane 14. Nøgletal'!C14)</f>
        <v>171033698.24201021</v>
      </c>
      <c r="H53" s="14" t="s">
        <v>3</v>
      </c>
      <c r="I53" s="1"/>
    </row>
    <row r="54" spans="1:9" x14ac:dyDescent="0.25">
      <c r="A54" s="1"/>
      <c r="B54" s="105" t="s">
        <v>183</v>
      </c>
      <c r="C54" s="106"/>
      <c r="D54" s="106"/>
      <c r="E54" s="106"/>
      <c r="F54" s="107"/>
      <c r="G54" s="52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5" t="s">
        <v>184</v>
      </c>
      <c r="C55" s="106"/>
      <c r="D55" s="106"/>
      <c r="E55" s="106"/>
      <c r="F55" s="107"/>
      <c r="G55" s="24">
        <f>(G53+G54)*'Fane 14. Nøgletal'!C24</f>
        <v>2531298.7339817514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00" t="s">
        <v>205</v>
      </c>
      <c r="C58" s="101"/>
      <c r="D58" s="101"/>
      <c r="E58" s="101"/>
      <c r="F58" s="101"/>
      <c r="G58" s="101"/>
      <c r="H58" s="102"/>
      <c r="I58" s="1"/>
    </row>
    <row r="59" spans="1:9" x14ac:dyDescent="0.25">
      <c r="A59" s="1"/>
      <c r="B59" s="105" t="s">
        <v>255</v>
      </c>
      <c r="C59" s="106"/>
      <c r="D59" s="106"/>
      <c r="E59" s="106"/>
      <c r="F59" s="107"/>
      <c r="G59" s="24">
        <f>(G53+G54-G55)*(1+'Fane 14. Nøgletal'!C14)</f>
        <v>169058457.42640495</v>
      </c>
      <c r="H59" s="14" t="s">
        <v>3</v>
      </c>
      <c r="I59" s="1"/>
    </row>
    <row r="60" spans="1:9" x14ac:dyDescent="0.25">
      <c r="A60" s="1"/>
      <c r="B60" s="105" t="s">
        <v>256</v>
      </c>
      <c r="C60" s="106"/>
      <c r="D60" s="106"/>
      <c r="E60" s="106"/>
      <c r="F60" s="107"/>
      <c r="G60" s="52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5" t="s">
        <v>257</v>
      </c>
      <c r="C61" s="106"/>
      <c r="D61" s="106"/>
      <c r="E61" s="106"/>
      <c r="F61" s="107"/>
      <c r="G61" s="24">
        <f>(G59+G60)*'Fane 14. Nøgletal'!C24</f>
        <v>2502065.1699107932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H0IcN/Ifhchew4GDhWVFR+zufJRjHsuQWut1ywp/SRJHR9DtnjhqzlpymKJk040BG8jhHqfdJkrvSkGrqifClg==" saltValue="CetMgLRqps/So7sroMvNPA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0" t="s">
        <v>10</v>
      </c>
      <c r="C8" s="101"/>
      <c r="D8" s="101"/>
      <c r="E8" s="101"/>
      <c r="F8" s="101"/>
      <c r="G8" s="101"/>
      <c r="H8" s="102"/>
      <c r="I8" s="1"/>
    </row>
    <row r="9" spans="1:9" x14ac:dyDescent="0.25">
      <c r="A9" s="1"/>
      <c r="B9" s="105" t="s">
        <v>243</v>
      </c>
      <c r="C9" s="106"/>
      <c r="D9" s="106"/>
      <c r="E9" s="106"/>
      <c r="F9" s="107"/>
      <c r="G9" s="23">
        <v>1.1123892467753661E-3</v>
      </c>
      <c r="H9" s="14"/>
      <c r="I9" s="1"/>
    </row>
    <row r="10" spans="1:9" x14ac:dyDescent="0.25">
      <c r="A10" s="1"/>
      <c r="B10" s="105" t="s">
        <v>86</v>
      </c>
      <c r="C10" s="106"/>
      <c r="D10" s="106"/>
      <c r="E10" s="106"/>
      <c r="F10" s="107"/>
      <c r="G10" s="23">
        <v>4.5263380820921399E-3</v>
      </c>
      <c r="H10" s="14"/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1">
        <v>7.8695404484839318E-3</v>
      </c>
      <c r="H11" s="14"/>
      <c r="I11" s="1"/>
    </row>
    <row r="12" spans="1:9" x14ac:dyDescent="0.25">
      <c r="A12" s="1"/>
      <c r="B12" s="105" t="s">
        <v>206</v>
      </c>
      <c r="C12" s="106"/>
      <c r="D12" s="106"/>
      <c r="E12" s="106"/>
      <c r="F12" s="107"/>
      <c r="G12" s="41">
        <v>1.0153607443584362E-2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6" t="s">
        <v>207</v>
      </c>
      <c r="C14" s="116"/>
      <c r="D14" s="116"/>
      <c r="E14" s="116"/>
      <c r="F14" s="116"/>
      <c r="G14" s="116"/>
      <c r="H14" s="116"/>
      <c r="I14" s="1"/>
    </row>
    <row r="15" spans="1:9" ht="14.25" customHeight="1" x14ac:dyDescent="0.25">
      <c r="A15" s="18"/>
      <c r="B15" s="116"/>
      <c r="C15" s="116"/>
      <c r="D15" s="116"/>
      <c r="E15" s="116"/>
      <c r="F15" s="116"/>
      <c r="G15" s="116"/>
      <c r="H15" s="116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CyCNt7qJ9jaLq2c+gxgbeQw1gT8EVHWbUfwUPlnmtnO/XuuUk4NRnuVP3wphrHRwW5GreY6bqbm5Q/T4Nz9JQ==" saltValue="i8+azPM+oIR/+SEUeyJ2C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2021-10-12T11:34:36Z</dcterms:modified>
</cp:coreProperties>
</file>