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Gladsaxe AS (S029)\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C20" i="23" l="1"/>
  <c r="C20" i="22"/>
  <c r="C20" i="15"/>
  <c r="E24" i="32" l="1"/>
  <c r="E32" i="32" s="1"/>
  <c r="E34" i="32" s="1"/>
  <c r="E28" i="32" l="1"/>
  <c r="C32" i="2" s="1"/>
  <c r="C13"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4"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5" i="37" s="1"/>
  <c r="C16" i="37" l="1"/>
  <c r="C10" i="2" s="1"/>
  <c r="G44" i="30" s="1"/>
  <c r="G35" i="36"/>
  <c r="G37" i="36" l="1"/>
  <c r="E19" i="27" s="1"/>
  <c r="G41" i="36" l="1"/>
  <c r="G27" i="30"/>
  <c r="G31" i="30" l="1"/>
  <c r="E10" i="37"/>
  <c r="E15" i="37" s="1"/>
  <c r="G33" i="30" l="1"/>
  <c r="G37" i="30" s="1"/>
  <c r="G39" i="30" s="1"/>
  <c r="E16"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<sst xmlns="http://schemas.openxmlformats.org/spreadsheetml/2006/main" count="614" uniqueCount="291">
  <si>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</si>
  <si>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</si>
  <si>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</si>
  <si>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</si>
  <si>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</si>
  <si>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</si>
  <si>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</si>
  <si>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</si>
  <si>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</si>
  <si>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</si>
  <si>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</si>
  <si>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</si>
  <si>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</si>
  <si>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</si>
  <si>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</si>
  <si>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</si>
  <si>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</si>
  <si>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</si>
  <si>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</si>
  <si>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</si>
  <si>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</si>
  <si>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</si>
  <si>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</si>
  <si>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</si>
  <si>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</si>
  <si>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</si>
  <si>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</si>
  <si>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</si>
  <si>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</si>
  <si>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</si>
  <si>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</si>
  <si>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</si>
  <si>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</si>
  <si>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</si>
  <si>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</si>
  <si>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</si>
  <si>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</si>
  <si>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</si>
  <si>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</si>
  <si>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</si>
  <si>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</si>
  <si>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</si>
  <si>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</si>
  <si>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</si>
  <si>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</si>
  <si>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</si>
  <si>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</si>
  <si>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</si>
  <si>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</si>
  <si>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</si>
  <si>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</si>
  <si>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</si>
  <si>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</si>
  <si>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</si>
  <si>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</si>
  <si>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</si>
  <si>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</si>
  <si>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</si>
  <si>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</si>
  <si>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</si>
  <si>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</si>
  <si>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</si>
  <si>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</si>
  <si>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</si>
  <si>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</si>
  <si>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</si>
  <si>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</si>
  <si>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</si>
  <si>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</si>
  <si>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</si>
  <si>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</si>
  <si>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</si>
  <si>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</si>
  <si>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</si>
  <si>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</si>
  <si>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</si>
  <si>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</si>
  <si>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</si>
  <si>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</si>
  <si>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</si>
  <si>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</si>
  <si>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</si>
  <si>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</si>
  <si>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</si>
  <si>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</si>
  <si>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</si>
  <si>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</si>
  <si>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</si>
  <si>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</si>
  <si>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</si>
  <si>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</si>
  <si>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</si>
  <si>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</si>
  <si>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</si>
  <si>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</si>
  <si>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</si>
  <si>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</si>
  <si>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</si>
  <si>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</si>
  <si>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</si>
  <si>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</si>
  <si>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</si>
  <si>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</si>
  <si>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</si>
  <si>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</si>
  <si>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</si>
  <si>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</si>
  <si>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</si>
  <si>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</si>
  <si>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</si>
  <si>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</si>
  <si>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</si>
  <si>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</si>
  <si>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</si>
  <si>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</si>
  <si>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</si>
  <si>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</si>
  <si>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</si>
  <si>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</si>
  <si>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</si>
  <si>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</si>
  <si>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</si>
  <si>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</si>
  <si>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</si>
  <si>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</si>
  <si>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</si>
  <si>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</si>
  <si>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</si>
  <si>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</si>
  <si>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</si>
  <si>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</si>
  <si>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</si>
  <si>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</si>
  <si>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</si>
  <si>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</si>
  <si>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</si>
  <si>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</si>
  <si>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</si>
  <si>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</si>
  <si>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</si>
  <si>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</si>
  <si>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</si>
  <si>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</si>
  <si>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</si>
  <si>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</si>
  <si>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</si>
  <si>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</si>
  <si>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</si>
  <si>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</si>
  <si>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</si>
  <si>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</si>
  <si>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</si>
  <si>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</si>
  <si>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</si>
  <si>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</si>
  <si>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</si>
  <si>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</si>
  <si>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</si>
  <si>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</si>
  <si>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</si>
  <si>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</si>
  <si>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</si>
  <si>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</si>
  <si>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</si>
  <si>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</si>
  <si>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</si>
  <si>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</si>
  <si>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</si>
  <si>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</si>
  <si>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</si>
  <si>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</si>
  <si>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</si>
  <si>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</si>
  <si>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</si>
  <si>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</si>
  <si>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</si>
  <si>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</si>
  <si>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</si>
  <si>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</si>
  <si>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</si>
  <si>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</si>
  <si>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</si>
  <si>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</si>
  <si>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</si>
  <si>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</si>
  <si>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</si>
  <si>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</si>
  <si>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</si>
  <si>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</si>
  <si>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</si>
  <si>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</si>
  <si>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</si>
  <si>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</si>
  <si>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</si>
  <si>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</si>
  <si>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</si>
  <si>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</si>
  <si>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</si>
  <si>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</si>
  <si>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</si>
  <si>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</si>
  <si>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</si>
  <si>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</si>
  <si>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</si>
  <si>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</si>
  <si>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</si>
  <si>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</si>
  <si>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</si>
  <si>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</si>
  <si>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</si>
  <si>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</si>
  <si>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</si>
  <si>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</si>
  <si>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</si>
  <si>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</si>
  <si>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</si>
  <si>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</si>
  <si>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</si>
  <si>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</si>
  <si>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</si>
  <si>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</si>
  <si>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</si>
  <si>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</si>
  <si>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</si>
  <si>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</si>
  <si>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</si>
  <si>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</si>
  <si>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</si>
  <si>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</si>
  <si>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</si>
  <si>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</si>
  <si>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</si>
  <si>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</si>
  <si>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</si>
  <si>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</si>
  <si>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</si>
  <si>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</si>
  <si>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</si>
  <si>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</si>
  <si>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</si>
  <si>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</si>
  <si>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</si>
  <si>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</si>
  <si>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</si>
  <si>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</si>
  <si>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</si>
  <si>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</si>
  <si>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</si>
  <si>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</si>
  <si>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</si>
  <si>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</si>
  <si>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</si>
  <si>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</si>
  <si>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</si>
  <si>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</si>
  <si>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</si>
  <si>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</si>
  <si>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</si>
  <si>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</si>
  <si>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</si>
  <si>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</si>
  <si>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</si>
  <si>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</si>
  <si>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</si>
  <si>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</si>
  <si>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Afgift til Forsyningssekretariatet</t>
  </si>
  <si>
    <t>Køb af ydelser og produkter fra andre vandselskaber reguleret af vandsektorloven</t>
  </si>
  <si>
    <t>Ejendomsskatter</t>
  </si>
  <si>
    <t>Resultat af kontrol med overholdelse af den økonomiske ramme for 2021</t>
  </si>
  <si>
    <t>Ingen tilknyttet virksomhed under hovedvirksomheden</t>
  </si>
  <si>
    <t>Klimatilpasningsprojekter</t>
  </si>
  <si>
    <t>Ledningsomlægning</t>
  </si>
  <si>
    <t>Udvidelser</t>
  </si>
  <si>
    <t>Oprensning Højland Sø</t>
  </si>
  <si>
    <t>Oprensning af Højland Sø</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</si>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</sst>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5" t="s">
        <v>4</v>
      </c>
      <c r="E6" s="105"/>
      <c r="F6" s="105"/>
      <c r="G6" s="105"/>
      <c r="H6" s="3"/>
      <c r="I6" s="1"/>
    </row>
    <row r="7" spans="1:9" ht="15" customHeight="1" x14ac:dyDescent="0.25">
      <c r="A7" s="1"/>
      <c r="B7" s="1"/>
      <c r="C7" s="3"/>
      <c r="D7" s="105"/>
      <c r="E7" s="105"/>
      <c r="F7" s="105"/>
      <c r="G7" s="105"/>
      <c r="H7" s="3"/>
      <c r="I7" s="1"/>
    </row>
    <row r="8" spans="1:9" ht="15.75" x14ac:dyDescent="0.25">
      <c r="A8" s="1"/>
      <c r="B8" s="1"/>
      <c r="C8" s="4"/>
      <c r="D8" s="113" t="s">
        <v>225</v>
      </c>
      <c r="E8" s="113"/>
      <c r="F8" s="113"/>
      <c r="G8" s="11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2" t="s">
        <v>5</v>
      </c>
      <c r="E11" s="112"/>
      <c r="F11" s="112"/>
      <c r="G11" s="112"/>
      <c r="H11" s="5"/>
      <c r="I11" s="1"/>
    </row>
    <row r="12" spans="1:9" x14ac:dyDescent="0.25">
      <c r="A12" s="1"/>
      <c r="B12" s="1"/>
      <c r="C12" s="1"/>
      <c r="D12" s="1"/>
      <c r="E12" s="1"/>
      <c r="F12" s="1"/>
      <c r="G12" s="1"/>
      <c r="H12" s="5"/>
      <c r="I12" s="1"/>
    </row>
    <row r="13" spans="1:9" x14ac:dyDescent="0.25">
      <c r="A13" s="1"/>
      <c r="B13" s="1"/>
      <c r="C13" s="6" t="s">
        <v>6</v>
      </c>
      <c r="D13" s="117" t="s">
        <v>169</v>
      </c>
      <c r="E13" s="118"/>
      <c r="F13" s="118"/>
      <c r="G13" s="119"/>
      <c r="H13" s="5"/>
      <c r="I13" s="1"/>
    </row>
    <row r="14" spans="1:9" x14ac:dyDescent="0.25">
      <c r="A14" s="1"/>
      <c r="B14" s="1"/>
      <c r="C14" s="6" t="s">
        <v>16</v>
      </c>
      <c r="D14" s="102" t="s">
        <v>235</v>
      </c>
      <c r="E14" s="103"/>
      <c r="F14" s="103"/>
      <c r="G14" s="104"/>
      <c r="H14" s="5"/>
      <c r="I14" s="1"/>
    </row>
    <row r="15" spans="1:9" x14ac:dyDescent="0.25">
      <c r="A15" s="1"/>
      <c r="B15" s="1"/>
      <c r="C15" s="6" t="s">
        <v>34</v>
      </c>
      <c r="D15" s="102" t="s">
        <v>170</v>
      </c>
      <c r="E15" s="103"/>
      <c r="F15" s="103"/>
      <c r="G15" s="104"/>
      <c r="H15" s="5"/>
      <c r="I15" s="1"/>
    </row>
    <row r="16" spans="1:9" x14ac:dyDescent="0.25">
      <c r="A16" s="1"/>
      <c r="B16" s="1"/>
      <c r="C16" s="6" t="s">
        <v>35</v>
      </c>
      <c r="D16" s="102" t="s">
        <v>182</v>
      </c>
      <c r="E16" s="103"/>
      <c r="F16" s="103"/>
      <c r="G16" s="104"/>
      <c r="H16" s="5"/>
      <c r="I16" s="1"/>
    </row>
    <row r="17" spans="1:9" x14ac:dyDescent="0.25">
      <c r="A17" s="1"/>
      <c r="B17" s="1"/>
      <c r="C17" s="6" t="s">
        <v>119</v>
      </c>
      <c r="D17" s="102" t="s">
        <v>183</v>
      </c>
      <c r="E17" s="103"/>
      <c r="F17" s="103"/>
      <c r="G17" s="104"/>
      <c r="H17" s="5"/>
      <c r="I17" s="1"/>
    </row>
    <row r="18" spans="1:9" x14ac:dyDescent="0.25">
      <c r="A18" s="1"/>
      <c r="B18" s="1"/>
      <c r="C18" s="6" t="s">
        <v>106</v>
      </c>
      <c r="D18" s="114" t="s">
        <v>95</v>
      </c>
      <c r="E18" s="115"/>
      <c r="F18" s="115"/>
      <c r="G18" s="116"/>
      <c r="H18" s="5"/>
      <c r="I18" s="1"/>
    </row>
    <row r="19" spans="1:9" x14ac:dyDescent="0.25">
      <c r="A19" s="1"/>
      <c r="B19" s="1"/>
      <c r="C19" s="6" t="s">
        <v>107</v>
      </c>
      <c r="D19" s="114" t="s">
        <v>96</v>
      </c>
      <c r="E19" s="115"/>
      <c r="F19" s="115"/>
      <c r="G19" s="116"/>
      <c r="H19" s="5"/>
      <c r="I19" s="1"/>
    </row>
    <row r="20" spans="1:9" x14ac:dyDescent="0.25">
      <c r="A20" s="1"/>
      <c r="B20" s="1"/>
      <c r="C20" s="6" t="s">
        <v>7</v>
      </c>
      <c r="D20" s="114" t="s">
        <v>10</v>
      </c>
      <c r="E20" s="115"/>
      <c r="F20" s="115"/>
      <c r="G20" s="116"/>
      <c r="H20" s="5"/>
      <c r="I20" s="1"/>
    </row>
    <row r="21" spans="1:9" x14ac:dyDescent="0.25">
      <c r="A21" s="1"/>
      <c r="B21" s="1"/>
      <c r="C21" s="6" t="s">
        <v>108</v>
      </c>
      <c r="D21" s="106" t="s">
        <v>12</v>
      </c>
      <c r="E21" s="107"/>
      <c r="F21" s="107"/>
      <c r="G21" s="108"/>
      <c r="H21" s="5"/>
      <c r="I21" s="1"/>
    </row>
    <row r="22" spans="1:9" x14ac:dyDescent="0.25">
      <c r="A22" s="1"/>
      <c r="B22" s="1"/>
      <c r="C22" s="6" t="s">
        <v>83</v>
      </c>
      <c r="D22" s="109" t="s">
        <v>184</v>
      </c>
      <c r="E22" s="110"/>
      <c r="F22" s="110"/>
      <c r="G22" s="111"/>
      <c r="H22" s="5"/>
      <c r="I22" s="1"/>
    </row>
    <row r="23" spans="1:9" x14ac:dyDescent="0.25">
      <c r="A23" s="1"/>
      <c r="B23" s="1"/>
      <c r="C23" s="6" t="s">
        <v>8</v>
      </c>
      <c r="D23" s="109" t="s">
        <v>253</v>
      </c>
      <c r="E23" s="110"/>
      <c r="F23" s="110"/>
      <c r="G23" s="111"/>
      <c r="H23" s="5"/>
      <c r="I23" s="1"/>
    </row>
    <row r="24" spans="1:9" x14ac:dyDescent="0.25">
      <c r="A24" s="1"/>
      <c r="B24" s="1"/>
      <c r="C24" s="6" t="s">
        <v>9</v>
      </c>
      <c r="D24" s="109" t="s">
        <v>185</v>
      </c>
      <c r="E24" s="110"/>
      <c r="F24" s="110"/>
      <c r="G24" s="111"/>
      <c r="H24" s="5"/>
      <c r="I24" s="1"/>
    </row>
    <row r="25" spans="1:9" x14ac:dyDescent="0.25">
      <c r="A25" s="1"/>
      <c r="B25" s="1"/>
      <c r="C25" s="6" t="s">
        <v>246</v>
      </c>
      <c r="D25" s="109" t="s">
        <v>237</v>
      </c>
      <c r="E25" s="110"/>
      <c r="F25" s="110"/>
      <c r="G25" s="111"/>
      <c r="H25" s="1"/>
      <c r="I25" s="1"/>
    </row>
    <row r="26" spans="1:9" x14ac:dyDescent="0.25">
      <c r="A26" s="1"/>
      <c r="B26" s="1"/>
      <c r="C26" s="6" t="s">
        <v>247</v>
      </c>
      <c r="D26" s="109" t="s">
        <v>84</v>
      </c>
      <c r="E26" s="110"/>
      <c r="F26" s="110"/>
      <c r="G26" s="111"/>
      <c r="H26" s="1"/>
      <c r="I26" s="1"/>
    </row>
    <row r="27" spans="1:9" x14ac:dyDescent="0.25">
      <c r="A27" s="1"/>
      <c r="B27" s="1"/>
      <c r="C27" s="6" t="s">
        <v>248</v>
      </c>
      <c r="D27" s="109" t="s">
        <v>85</v>
      </c>
      <c r="E27" s="110"/>
      <c r="F27" s="110"/>
      <c r="G27" s="111"/>
      <c r="H27" s="1"/>
      <c r="I27" s="1"/>
    </row>
    <row r="28" spans="1:9" x14ac:dyDescent="0.25">
      <c r="A28" s="1"/>
      <c r="B28" s="1"/>
      <c r="C28" s="6" t="s">
        <v>15</v>
      </c>
      <c r="D28" s="109" t="s">
        <v>86</v>
      </c>
      <c r="E28" s="110"/>
      <c r="F28" s="110"/>
      <c r="G28" s="111"/>
      <c r="H28" s="1"/>
      <c r="I28" s="1"/>
    </row>
    <row r="29" spans="1:9" x14ac:dyDescent="0.25">
      <c r="A29" s="1"/>
      <c r="B29" s="1"/>
      <c r="C29" s="6" t="s">
        <v>37</v>
      </c>
      <c r="D29" s="109" t="s">
        <v>134</v>
      </c>
      <c r="E29" s="110"/>
      <c r="F29" s="110"/>
      <c r="G29" s="111"/>
      <c r="H29" s="1"/>
      <c r="I29" s="1"/>
    </row>
    <row r="30" spans="1:9" x14ac:dyDescent="0.25">
      <c r="A30" s="1"/>
      <c r="B30" s="1"/>
      <c r="C30" s="6" t="s">
        <v>38</v>
      </c>
      <c r="D30" s="109" t="s">
        <v>36</v>
      </c>
      <c r="E30" s="110"/>
      <c r="F30" s="110"/>
      <c r="G30" s="111"/>
      <c r="H30" s="1"/>
      <c r="I30" s="1"/>
    </row>
    <row r="31" spans="1:9" x14ac:dyDescent="0.25">
      <c r="A31" s="1"/>
      <c r="B31" s="1"/>
      <c r="C31" s="6" t="s">
        <v>249</v>
      </c>
      <c r="D31" s="120" t="s">
        <v>105</v>
      </c>
      <c r="E31" s="121"/>
      <c r="F31" s="121"/>
      <c r="G31" s="12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ddRdmSIOdh7CWIO2cUyV193Cn/0umC9OnCZrCrWM6F1td7PgOh4e5MN5JhFoQ4RqX91G7OnrHyJVkNL8dx0nqg==" saltValue="XXSQO9jmwmOXxewxsCI4I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145704</v>
      </c>
      <c r="D10" s="14" t="s">
        <v>3</v>
      </c>
      <c r="E10" s="1"/>
      <c r="F10" s="1"/>
    </row>
    <row r="11" spans="1:6" x14ac:dyDescent="0.25">
      <c r="A11" s="1"/>
      <c r="B11" s="94" t="s">
        <v>266</v>
      </c>
      <c r="C11" s="9">
        <v>35934828</v>
      </c>
      <c r="D11" s="14" t="s">
        <v>3</v>
      </c>
      <c r="E11" s="1"/>
      <c r="F11" s="1"/>
    </row>
    <row r="12" spans="1:6" x14ac:dyDescent="0.25">
      <c r="A12" s="1"/>
      <c r="B12" s="94" t="s">
        <v>267</v>
      </c>
      <c r="C12" s="9">
        <v>482500</v>
      </c>
      <c r="D12" s="14" t="s">
        <v>3</v>
      </c>
      <c r="E12" s="1"/>
      <c r="F12" s="1"/>
    </row>
    <row r="13" spans="1:6" x14ac:dyDescent="0.25">
      <c r="A13" s="1"/>
      <c r="B13" s="32" t="s">
        <v>200</v>
      </c>
      <c r="C13" s="12">
        <f>SUM(C10:C12)</f>
        <v>36563032</v>
      </c>
      <c r="D13" s="13" t="s">
        <v>3</v>
      </c>
      <c r="E13" s="1"/>
      <c r="F13" s="1"/>
    </row>
    <row r="14" spans="1:6" x14ac:dyDescent="0.25">
      <c r="A14" s="1"/>
      <c r="B14" s="32" t="s">
        <v>201</v>
      </c>
      <c r="C14" s="12">
        <f>C13*(1+'Fane 15. Nøgletal'!C15)^2</f>
        <v>39212658.402635522</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31" t="s">
        <v>117</v>
      </c>
      <c r="C17" s="132"/>
      <c r="D17" s="133"/>
      <c r="E17" s="1"/>
      <c r="F17" s="1"/>
    </row>
    <row r="18" spans="1:6" x14ac:dyDescent="0.25">
      <c r="A18" s="1"/>
      <c r="B18" s="94" t="s">
        <v>99</v>
      </c>
      <c r="C18" s="9">
        <v>0</v>
      </c>
      <c r="D18" s="14" t="s">
        <v>3</v>
      </c>
      <c r="E18" s="1"/>
      <c r="F18" s="1"/>
    </row>
    <row r="19" spans="1:6" x14ac:dyDescent="0.25">
      <c r="A19" s="1"/>
      <c r="B19" s="94" t="s">
        <v>129</v>
      </c>
      <c r="C19" s="9">
        <v>0</v>
      </c>
      <c r="D19" s="14" t="s">
        <v>3</v>
      </c>
      <c r="E19" s="1"/>
      <c r="F19" s="1"/>
    </row>
    <row r="20" spans="1:6" x14ac:dyDescent="0.25">
      <c r="A20" s="1"/>
      <c r="B20" s="94" t="s">
        <v>155</v>
      </c>
      <c r="C20" s="9">
        <v>0</v>
      </c>
      <c r="D20" s="14" t="s">
        <v>3</v>
      </c>
      <c r="E20" s="1"/>
      <c r="F20" s="1"/>
    </row>
    <row r="21" spans="1:6" x14ac:dyDescent="0.25">
      <c r="A21" s="1"/>
      <c r="B21" s="33" t="s">
        <v>202</v>
      </c>
      <c r="C21" s="9">
        <v>0</v>
      </c>
      <c r="D21" s="40" t="s">
        <v>3</v>
      </c>
      <c r="E21" s="1"/>
      <c r="F21" s="1"/>
    </row>
    <row r="22" spans="1:6" x14ac:dyDescent="0.25">
      <c r="A22" s="1"/>
      <c r="B22" s="131"/>
      <c r="C22" s="132"/>
      <c r="D22" s="133"/>
      <c r="E22" s="1"/>
      <c r="F22" s="1"/>
    </row>
    <row r="23" spans="1:6" x14ac:dyDescent="0.25">
      <c r="A23" s="1"/>
      <c r="B23" s="1"/>
      <c r="C23" s="1"/>
      <c r="D23" s="1"/>
      <c r="E23" s="1"/>
      <c r="F23" s="1"/>
    </row>
    <row r="24" spans="1:6" x14ac:dyDescent="0.25">
      <c r="A24" s="1"/>
      <c r="B24" s="1"/>
      <c r="C24" s="1"/>
      <c r="D24" s="1"/>
      <c r="E24" s="1"/>
      <c r="F24" s="1"/>
    </row>
    <row r="25" spans="1:6" x14ac:dyDescent="0.25">
      <c r="A25" s="1"/>
      <c r="B25" s="131" t="s">
        <v>98</v>
      </c>
      <c r="C25" s="132"/>
      <c r="D25" s="133"/>
      <c r="E25" s="1"/>
      <c r="F25" s="1"/>
    </row>
    <row r="26" spans="1:6" x14ac:dyDescent="0.25">
      <c r="A26" s="1"/>
      <c r="B26" s="94" t="s">
        <v>99</v>
      </c>
      <c r="C26" s="9">
        <v>0</v>
      </c>
      <c r="D26" s="14" t="s">
        <v>3</v>
      </c>
      <c r="E26" s="1"/>
      <c r="F26" s="1"/>
    </row>
    <row r="27" spans="1:6" x14ac:dyDescent="0.25">
      <c r="A27" s="1"/>
      <c r="B27" s="94" t="s">
        <v>129</v>
      </c>
      <c r="C27" s="9">
        <v>0</v>
      </c>
      <c r="D27" s="14" t="s">
        <v>3</v>
      </c>
      <c r="E27" s="1"/>
      <c r="F27" s="1"/>
    </row>
    <row r="28" spans="1:6" x14ac:dyDescent="0.25">
      <c r="A28" s="1"/>
      <c r="B28" s="94" t="s">
        <v>155</v>
      </c>
      <c r="C28" s="9">
        <v>0</v>
      </c>
      <c r="D28" s="14" t="s">
        <v>3</v>
      </c>
      <c r="E28" s="1"/>
      <c r="F28" s="1"/>
    </row>
    <row r="29" spans="1:6" x14ac:dyDescent="0.25">
      <c r="A29" s="1"/>
      <c r="B29" s="33" t="s">
        <v>202</v>
      </c>
      <c r="C29" s="9">
        <v>0</v>
      </c>
      <c r="D29" s="40" t="s">
        <v>3</v>
      </c>
      <c r="E29" s="1"/>
      <c r="F29" s="1"/>
    </row>
    <row r="30" spans="1:6" x14ac:dyDescent="0.25">
      <c r="A30" s="1"/>
      <c r="B30" s="131"/>
      <c r="C30" s="132"/>
      <c r="D30" s="133"/>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49"/>
      <c r="B47" s="49"/>
      <c r="C47" s="49"/>
      <c r="D47" s="49"/>
      <c r="E47" s="49"/>
      <c r="F47" s="49"/>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sheetData>
  <sheetProtection algorithmName="SHA-512" hashValue="L/4hTHqooBxcyezVZ3uHykAPokf7/M3/78ms7vNAQGdkcuuT1fwuCPngFU0hx3qgMOi7d0y5doXGMFJEqKFI7g==" saltValue="JbhwJjX22fjxGxaeeuzWsA==" spinCount="100000" sheet="1" objects="1" scenarios="1"/>
  <mergeCells count="6">
    <mergeCell ref="B30:D30"/>
    <mergeCell ref="B3:D4"/>
    <mergeCell ref="B8:D8"/>
    <mergeCell ref="B17:D17"/>
    <mergeCell ref="B25:D25"/>
    <mergeCell ref="B22:D22"/>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203</v>
      </c>
      <c r="C3" s="139"/>
      <c r="D3" s="139"/>
      <c r="E3" s="139"/>
      <c r="F3" s="139"/>
      <c r="G3" s="1"/>
    </row>
    <row r="4" spans="1:7" ht="15" customHeight="1" x14ac:dyDescent="0.25">
      <c r="A4" s="1"/>
      <c r="B4" s="139"/>
      <c r="C4" s="139"/>
      <c r="D4" s="139"/>
      <c r="E4" s="139"/>
      <c r="F4" s="139"/>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41" t="s">
        <v>204</v>
      </c>
      <c r="C9" s="142"/>
      <c r="D9" s="143"/>
      <c r="E9" s="9">
        <v>-21717513.637370721</v>
      </c>
      <c r="F9" s="14" t="s">
        <v>3</v>
      </c>
      <c r="G9" s="1"/>
    </row>
    <row r="10" spans="1:7" x14ac:dyDescent="0.25">
      <c r="A10" s="1"/>
      <c r="B10" s="141" t="s">
        <v>263</v>
      </c>
      <c r="C10" s="142"/>
      <c r="D10" s="143"/>
      <c r="E10" s="9">
        <v>-8397718.8871487528</v>
      </c>
      <c r="F10" s="14" t="s">
        <v>3</v>
      </c>
      <c r="G10" s="1"/>
    </row>
    <row r="11" spans="1:7" x14ac:dyDescent="0.25">
      <c r="A11" s="1"/>
      <c r="B11" s="32"/>
      <c r="C11" s="27"/>
      <c r="D11" s="27"/>
      <c r="E11" s="27"/>
      <c r="F11" s="19"/>
      <c r="G11" s="1"/>
    </row>
    <row r="12" spans="1:7" ht="81.75" customHeight="1" x14ac:dyDescent="0.25">
      <c r="A12" s="1"/>
      <c r="B12" s="134" t="s">
        <v>289</v>
      </c>
      <c r="C12" s="135"/>
      <c r="D12" s="135"/>
      <c r="E12" s="135"/>
      <c r="F12" s="136"/>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41" t="s">
        <v>284</v>
      </c>
      <c r="C15" s="142"/>
      <c r="D15" s="143"/>
      <c r="E15" s="9">
        <v>-4198859.6188930944</v>
      </c>
      <c r="F15" s="14" t="s">
        <v>3</v>
      </c>
      <c r="G15" s="1"/>
    </row>
    <row r="16" spans="1:7" x14ac:dyDescent="0.25">
      <c r="A16" s="1"/>
      <c r="B16" s="141" t="s">
        <v>285</v>
      </c>
      <c r="C16" s="142"/>
      <c r="D16" s="143"/>
      <c r="E16" s="9">
        <v>-4198859.6188930944</v>
      </c>
      <c r="F16" s="14" t="s">
        <v>3</v>
      </c>
      <c r="G16" s="1"/>
    </row>
    <row r="17" spans="1:7" x14ac:dyDescent="0.25">
      <c r="A17" s="1"/>
      <c r="B17" s="32"/>
      <c r="C17" s="27"/>
      <c r="D17" s="27"/>
      <c r="E17" s="27"/>
      <c r="F17" s="19"/>
      <c r="G17" s="1"/>
    </row>
    <row r="18" spans="1:7" ht="31.5" customHeight="1" x14ac:dyDescent="0.25">
      <c r="A18" s="1"/>
      <c r="B18" s="134" t="s">
        <v>290</v>
      </c>
      <c r="C18" s="135"/>
      <c r="D18" s="135"/>
      <c r="E18" s="135"/>
      <c r="F18" s="136"/>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86105276.914708987</v>
      </c>
      <c r="F21" s="14" t="s">
        <v>3</v>
      </c>
      <c r="G21" s="1"/>
    </row>
    <row r="22" spans="1:7" x14ac:dyDescent="0.25">
      <c r="A22" s="1"/>
      <c r="B22" s="91" t="s">
        <v>207</v>
      </c>
      <c r="C22" s="92"/>
      <c r="D22" s="93"/>
      <c r="E22" s="9">
        <v>88317800</v>
      </c>
      <c r="F22" s="14" t="s">
        <v>3</v>
      </c>
      <c r="G22" s="1"/>
    </row>
    <row r="23" spans="1:7" x14ac:dyDescent="0.25">
      <c r="A23" s="1"/>
      <c r="B23" s="91" t="s">
        <v>33</v>
      </c>
      <c r="C23" s="92"/>
      <c r="D23" s="93"/>
      <c r="E23" s="9">
        <v>0</v>
      </c>
      <c r="F23" s="14" t="s">
        <v>3</v>
      </c>
      <c r="G23" s="1"/>
    </row>
    <row r="24" spans="1:7" x14ac:dyDescent="0.25">
      <c r="A24" s="1"/>
      <c r="B24" s="88" t="s">
        <v>268</v>
      </c>
      <c r="C24" s="89"/>
      <c r="D24" s="96"/>
      <c r="E24" s="72">
        <f>E21-(E22-E23)</f>
        <v>-2212523.0852910131</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286</v>
      </c>
      <c r="C27" s="132"/>
      <c r="D27" s="132"/>
      <c r="E27" s="132"/>
      <c r="F27" s="133"/>
      <c r="G27" s="1"/>
    </row>
    <row r="28" spans="1:7" x14ac:dyDescent="0.25">
      <c r="A28" s="1"/>
      <c r="B28" s="137" t="s">
        <v>287</v>
      </c>
      <c r="C28" s="138"/>
      <c r="D28" s="162"/>
      <c r="E28" s="73">
        <f>IF(AND(E9&gt;0,(E9+E24)&gt;0),0,IF(AND(E9&gt;0,(E9+E24)&lt;0),0,IF(AND(E9&lt;0,E24&gt;0,E10=0),0,IF(AND(E9&lt;0,E24&gt;0,ABS(E10)&lt;ABS(E24)),ABS(E16),IF(AND(E9&lt;0,E24&gt;0,ABS(E10)&gt;ABS(E24),ABS(E16)&gt;ABS(E24)),-(ABS(E16)-ABS(E24)),IF(AND(E9&lt;0,E24&gt;0,ABS(E10)&gt;ABS(E24),ABS(E16)&lt;ABS(E24)),E24-ABS(E16),IF(AND(E9&lt;0,E24&lt;0),E16,0)))))))</f>
        <v>-4198859.6188930944</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5" t="s">
        <v>143</v>
      </c>
      <c r="C32" s="156"/>
      <c r="D32" s="157"/>
      <c r="E32" s="74">
        <f>IF(AND(E9&gt;0,(E9+E24)&gt;0),0,IF(AND(E9&gt;0,(E9+E24)&lt;0),(E9+E24),IF(AND(E9&lt;0,E24&lt;0),E24,0)))</f>
        <v>-2212523.0852910131</v>
      </c>
      <c r="F32" s="14" t="s">
        <v>3</v>
      </c>
      <c r="G32" s="1"/>
    </row>
    <row r="33" spans="1:7" x14ac:dyDescent="0.25">
      <c r="A33" s="1"/>
      <c r="B33" s="155" t="s">
        <v>102</v>
      </c>
      <c r="C33" s="156"/>
      <c r="D33" s="157"/>
      <c r="E33" s="9">
        <v>4</v>
      </c>
      <c r="F33" s="14" t="s">
        <v>20</v>
      </c>
      <c r="G33" s="1"/>
    </row>
    <row r="34" spans="1:7" x14ac:dyDescent="0.25">
      <c r="A34" s="1"/>
      <c r="B34" s="158" t="s">
        <v>144</v>
      </c>
      <c r="C34" s="158"/>
      <c r="D34" s="158"/>
      <c r="E34" s="73">
        <f>E32/E33</f>
        <v>-553130.77132275328</v>
      </c>
      <c r="F34" s="17" t="s">
        <v>3</v>
      </c>
      <c r="G34" s="1"/>
    </row>
    <row r="35" spans="1:7" x14ac:dyDescent="0.25">
      <c r="A35" s="1"/>
      <c r="B35" s="159"/>
      <c r="C35" s="160"/>
      <c r="D35" s="160"/>
      <c r="E35" s="160"/>
      <c r="F35" s="16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xnyup9l4FczZnCicrDTRUwTBmoGkoIzqT9oBvOFmZIcC3v2jVJYpVVWlPnK45bXeDKzZF1zgu46OY30qheh2Rw==" saltValue="vonvC7J3U3bEfBiyyp+0FQ=="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63" t="s">
        <v>275</v>
      </c>
      <c r="C10" s="164"/>
      <c r="D10" s="164"/>
      <c r="E10" s="164"/>
      <c r="F10" s="165"/>
      <c r="G10" s="9">
        <v>0</v>
      </c>
      <c r="H10" s="9" t="s">
        <v>3</v>
      </c>
      <c r="I10" s="1"/>
    </row>
    <row r="11" spans="1:9" x14ac:dyDescent="0.25">
      <c r="A11" s="1"/>
      <c r="B11" s="163" t="s">
        <v>276</v>
      </c>
      <c r="C11" s="164"/>
      <c r="D11" s="164"/>
      <c r="E11" s="164"/>
      <c r="F11" s="165"/>
      <c r="G11" s="9">
        <v>0</v>
      </c>
      <c r="H11" s="9" t="s">
        <v>3</v>
      </c>
      <c r="I11" s="1"/>
    </row>
    <row r="12" spans="1:9" x14ac:dyDescent="0.25">
      <c r="A12" s="1"/>
      <c r="B12" s="163" t="s">
        <v>277</v>
      </c>
      <c r="C12" s="164"/>
      <c r="D12" s="164"/>
      <c r="E12" s="164"/>
      <c r="F12" s="165"/>
      <c r="G12" s="9">
        <v>0</v>
      </c>
      <c r="H12" s="9" t="s">
        <v>3</v>
      </c>
      <c r="I12" s="1"/>
    </row>
    <row r="13" spans="1:9" x14ac:dyDescent="0.25">
      <c r="A13" s="1"/>
      <c r="B13" s="163" t="s">
        <v>278</v>
      </c>
      <c r="C13" s="164"/>
      <c r="D13" s="164"/>
      <c r="E13" s="164"/>
      <c r="F13" s="165"/>
      <c r="G13" s="9">
        <v>0</v>
      </c>
      <c r="H13" s="9" t="s">
        <v>3</v>
      </c>
      <c r="I13" s="1"/>
    </row>
    <row r="14" spans="1:9" x14ac:dyDescent="0.25">
      <c r="A14" s="1"/>
      <c r="B14" s="163" t="s">
        <v>279</v>
      </c>
      <c r="C14" s="164"/>
      <c r="D14" s="164"/>
      <c r="E14" s="164"/>
      <c r="F14" s="165"/>
      <c r="G14" s="9">
        <v>0</v>
      </c>
      <c r="H14" s="9" t="s">
        <v>3</v>
      </c>
      <c r="I14" s="1"/>
    </row>
    <row r="15" spans="1:9" x14ac:dyDescent="0.25">
      <c r="A15" s="1"/>
      <c r="B15" s="163" t="s">
        <v>280</v>
      </c>
      <c r="C15" s="164"/>
      <c r="D15" s="164"/>
      <c r="E15" s="164"/>
      <c r="F15" s="165"/>
      <c r="G15" s="9">
        <v>0</v>
      </c>
      <c r="H15" s="9" t="s">
        <v>3</v>
      </c>
      <c r="I15" s="1"/>
    </row>
    <row r="16" spans="1:9" x14ac:dyDescent="0.25">
      <c r="A16" s="1"/>
      <c r="B16" s="163" t="s">
        <v>281</v>
      </c>
      <c r="C16" s="164"/>
      <c r="D16" s="164"/>
      <c r="E16" s="164"/>
      <c r="F16" s="165"/>
      <c r="G16" s="9">
        <v>0</v>
      </c>
      <c r="H16" s="9" t="s">
        <v>3</v>
      </c>
      <c r="I16" s="1"/>
    </row>
    <row r="17" spans="1:9" x14ac:dyDescent="0.25">
      <c r="A17" s="1"/>
      <c r="B17" s="163" t="s">
        <v>282</v>
      </c>
      <c r="C17" s="164"/>
      <c r="D17" s="164"/>
      <c r="E17" s="164"/>
      <c r="F17" s="165"/>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ur2SuXtc9Q0oxBX8xRVx1jpi+Ig6tiPognjGlLnmZqE2thF7brlbt3gtWiET3yusrp23efGMmD4d9f3+8k6APw==" saltValue="cupPW/SL1KbMC5cjSYjzwA==" spinCount="100000" sheet="1" objects="1" scenarios="1"/>
  <mergeCells count="12">
    <mergeCell ref="B17:F17"/>
    <mergeCell ref="B18:F18"/>
    <mergeCell ref="B12:F12"/>
    <mergeCell ref="B13:F13"/>
    <mergeCell ref="B14:F14"/>
    <mergeCell ref="B15:F15"/>
    <mergeCell ref="B16:F16"/>
    <mergeCell ref="B11:F11"/>
    <mergeCell ref="B10:F10"/>
    <mergeCell ref="B9:H9"/>
    <mergeCell ref="B3:H4"/>
    <mergeCell ref="B8:H8"/>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254</v>
      </c>
      <c r="C3" s="139"/>
      <c r="D3" s="139"/>
      <c r="E3" s="139"/>
      <c r="F3" s="139"/>
      <c r="G3" s="1"/>
    </row>
    <row r="4" spans="1:7" ht="1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34" t="s">
        <v>100</v>
      </c>
      <c r="C10" s="135"/>
      <c r="D10" s="136"/>
      <c r="E10" s="7">
        <v>2357237.3234515437</v>
      </c>
      <c r="F10" s="8" t="s">
        <v>3</v>
      </c>
      <c r="G10" s="1"/>
    </row>
    <row r="11" spans="1:7" x14ac:dyDescent="0.25">
      <c r="A11" s="1"/>
      <c r="B11" s="141" t="s">
        <v>209</v>
      </c>
      <c r="C11" s="142"/>
      <c r="D11" s="143"/>
      <c r="E11" s="7">
        <v>0</v>
      </c>
      <c r="F11" s="8" t="s">
        <v>3</v>
      </c>
      <c r="G11" s="1"/>
    </row>
    <row r="12" spans="1:7" x14ac:dyDescent="0.25">
      <c r="A12" s="1"/>
      <c r="B12" s="137" t="s">
        <v>101</v>
      </c>
      <c r="C12" s="138"/>
      <c r="D12" s="162"/>
      <c r="E12" s="10">
        <f>E11-E10</f>
        <v>-2357237.3234515437</v>
      </c>
      <c r="F12" s="11" t="s">
        <v>3</v>
      </c>
      <c r="G12" s="1"/>
    </row>
    <row r="13" spans="1:7" x14ac:dyDescent="0.25">
      <c r="A13" s="1"/>
      <c r="B13" s="131" t="s">
        <v>94</v>
      </c>
      <c r="C13" s="132"/>
      <c r="D13" s="132"/>
      <c r="E13" s="132"/>
      <c r="F13" s="133"/>
      <c r="G13" s="1"/>
    </row>
    <row r="14" spans="1:7" x14ac:dyDescent="0.25">
      <c r="A14" s="1"/>
      <c r="B14" s="141" t="s">
        <v>210</v>
      </c>
      <c r="C14" s="142"/>
      <c r="D14" s="143"/>
      <c r="E14" s="9">
        <v>0</v>
      </c>
      <c r="F14" s="8" t="s">
        <v>3</v>
      </c>
      <c r="G14" s="1"/>
    </row>
    <row r="15" spans="1:7" x14ac:dyDescent="0.25">
      <c r="A15" s="1"/>
      <c r="B15" s="134" t="s">
        <v>211</v>
      </c>
      <c r="C15" s="135"/>
      <c r="D15" s="136"/>
      <c r="E15" s="9">
        <v>0</v>
      </c>
      <c r="F15" s="8" t="s">
        <v>3</v>
      </c>
      <c r="G15" s="1"/>
    </row>
    <row r="16" spans="1:7" x14ac:dyDescent="0.25">
      <c r="A16" s="1"/>
      <c r="B16" s="137" t="s">
        <v>101</v>
      </c>
      <c r="C16" s="138"/>
      <c r="D16" s="162"/>
      <c r="E16" s="10">
        <f>E15-E14</f>
        <v>0</v>
      </c>
      <c r="F16" s="11" t="s">
        <v>3</v>
      </c>
      <c r="G16" s="1"/>
    </row>
    <row r="17" spans="1:7" x14ac:dyDescent="0.25">
      <c r="A17" s="1"/>
      <c r="B17" s="32" t="s">
        <v>212</v>
      </c>
      <c r="C17" s="27"/>
      <c r="D17" s="27"/>
      <c r="E17" s="12">
        <f>E12+E16</f>
        <v>-2357237.3234515437</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Q2cVITOkOSKGN2yiknnLpbTKFGnY3J2aFDhBQmsS1dd76BMj4mCbjdpFzPkdcn1wAm9HfC4gFnak5prLMA/C+Q==" saltValue="ZSDWwSk0VlFuaNov9S90B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283</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Vj0ZaoeQhn4BKFtaeB6g5to4099J8mrklr4HKd0+K1Df4cuNXqcYE6yogRtqskH1xdgWkQUzfuDmqtURNZ1Bfw==" saltValue="OwWm3wGD3a+TKB0wg0D4s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2"/>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270</v>
      </c>
      <c r="C11" s="21">
        <v>451383</v>
      </c>
      <c r="D11" s="14" t="s">
        <v>3</v>
      </c>
      <c r="E11" s="9">
        <v>5673789</v>
      </c>
      <c r="F11" s="14" t="s">
        <v>3</v>
      </c>
      <c r="G11" s="1"/>
    </row>
    <row r="12" spans="1:7" x14ac:dyDescent="0.25">
      <c r="A12" s="1"/>
      <c r="B12" s="23" t="s">
        <v>271</v>
      </c>
      <c r="C12" s="21">
        <v>0</v>
      </c>
      <c r="D12" s="14" t="s">
        <v>3</v>
      </c>
      <c r="E12" s="9">
        <v>95118</v>
      </c>
      <c r="F12" s="14" t="s">
        <v>3</v>
      </c>
      <c r="G12" s="1"/>
    </row>
    <row r="13" spans="1:7" x14ac:dyDescent="0.25">
      <c r="A13" s="1"/>
      <c r="B13" s="23" t="s">
        <v>272</v>
      </c>
      <c r="C13" s="21">
        <v>25609</v>
      </c>
      <c r="D13" s="14" t="s">
        <v>3</v>
      </c>
      <c r="E13" s="9">
        <v>72841</v>
      </c>
      <c r="F13" s="14" t="s">
        <v>3</v>
      </c>
      <c r="G13" s="1"/>
    </row>
    <row r="14" spans="1:7" x14ac:dyDescent="0.25">
      <c r="A14" s="1"/>
      <c r="B14" s="23" t="s">
        <v>273</v>
      </c>
      <c r="C14" s="21">
        <v>151323</v>
      </c>
      <c r="D14" s="14" t="s">
        <v>3</v>
      </c>
      <c r="E14" s="9">
        <v>0</v>
      </c>
      <c r="F14" s="14" t="s">
        <v>3</v>
      </c>
      <c r="G14" s="1"/>
    </row>
    <row r="15" spans="1:7" x14ac:dyDescent="0.25">
      <c r="A15" s="1"/>
      <c r="B15" s="32" t="s">
        <v>156</v>
      </c>
      <c r="C15" s="12">
        <f>SUM(C10:C14)</f>
        <v>628315</v>
      </c>
      <c r="D15" s="13" t="s">
        <v>3</v>
      </c>
      <c r="E15" s="12">
        <f>SUM(E10:E14)</f>
        <v>5841748</v>
      </c>
      <c r="F15" s="13" t="s">
        <v>3</v>
      </c>
      <c r="G15" s="1"/>
    </row>
    <row r="16" spans="1:7" x14ac:dyDescent="0.25">
      <c r="A16" s="1"/>
      <c r="B16" s="32" t="s">
        <v>213</v>
      </c>
      <c r="C16" s="12">
        <f>C15*(1+'Fane 15. Nøgletal'!C15)</f>
        <v>650683.01400000008</v>
      </c>
      <c r="D16" s="13" t="s">
        <v>3</v>
      </c>
      <c r="E16" s="12">
        <f>E15*(1+'Fane 15. Nøgletal'!C15)</f>
        <v>6049714.2288000006</v>
      </c>
      <c r="F16" s="13" t="s">
        <v>3</v>
      </c>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egC++CReocRGAgMf5Xuh1tnZtKJUG3EURqNIW2Xo3e4+7jWGBm369yZn0Y2bsB3va+2M7icEPnCgAWsKcVESeQ==" saltValue="k9SV2YegsnwMkeQrujZHu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3" t="s">
        <v>17</v>
      </c>
      <c r="C9" s="83" t="s">
        <v>11</v>
      </c>
      <c r="D9" s="84"/>
      <c r="E9" s="83" t="s">
        <v>31</v>
      </c>
      <c r="F9" s="31"/>
      <c r="G9" s="1"/>
    </row>
    <row r="10" spans="1:7" x14ac:dyDescent="0.25">
      <c r="A10" s="1"/>
      <c r="B10" s="23" t="s">
        <v>274</v>
      </c>
      <c r="C10" s="21">
        <v>6052903</v>
      </c>
      <c r="D10" s="14" t="s">
        <v>3</v>
      </c>
      <c r="E10" s="9">
        <v>0</v>
      </c>
      <c r="F10" s="14" t="s">
        <v>3</v>
      </c>
      <c r="G10" s="1"/>
    </row>
    <row r="11" spans="1:7" x14ac:dyDescent="0.25">
      <c r="A11" s="1"/>
      <c r="B11" s="32" t="s">
        <v>232</v>
      </c>
      <c r="C11" s="12">
        <f>SUM(C10:C10)</f>
        <v>6052903</v>
      </c>
      <c r="D11" s="13" t="s">
        <v>3</v>
      </c>
      <c r="E11" s="12">
        <f>SUM(E10:E10)</f>
        <v>0</v>
      </c>
      <c r="F11" s="13" t="s">
        <v>3</v>
      </c>
      <c r="G11" s="1"/>
    </row>
    <row r="12" spans="1:7" x14ac:dyDescent="0.25">
      <c r="A12" s="1"/>
      <c r="B12" s="32" t="s">
        <v>136</v>
      </c>
      <c r="C12" s="12">
        <f>C11*(1+'Fane 15. Nøgletal'!C15)^2</f>
        <v>6491540.9007460801</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r35mXoYIGG7Rrt/WiUBogfJbQpZXPu65v/3Ol+CgFSsvy1r3gLFxS6kc1QTv2qiEdx+kKE6m0nE3mf0bcv/CEA==" saltValue="tVDCr0qN9wx7jqYs8eRYR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258</v>
      </c>
      <c r="C3" s="139"/>
      <c r="D3" s="139"/>
      <c r="E3" s="139"/>
      <c r="F3" s="139"/>
      <c r="G3" s="1"/>
    </row>
    <row r="4" spans="1:7" ht="15" customHeight="1" x14ac:dyDescent="0.25">
      <c r="A4" s="1"/>
      <c r="B4" s="139"/>
      <c r="C4" s="139"/>
      <c r="D4" s="139"/>
      <c r="E4" s="139"/>
      <c r="F4" s="139"/>
      <c r="G4" s="1"/>
    </row>
    <row r="5" spans="1:7" x14ac:dyDescent="0.25">
      <c r="A5" s="1"/>
      <c r="B5" s="139"/>
      <c r="C5" s="139"/>
      <c r="D5" s="139"/>
      <c r="E5" s="139"/>
      <c r="F5" s="139"/>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63" t="s">
        <v>224</v>
      </c>
      <c r="C10" s="164"/>
      <c r="D10" s="165"/>
      <c r="E10" s="9">
        <v>114855.62396243007</v>
      </c>
      <c r="F10" s="14" t="s">
        <v>3</v>
      </c>
      <c r="G10" s="1"/>
    </row>
    <row r="11" spans="1:7" x14ac:dyDescent="0.25">
      <c r="A11" s="1"/>
      <c r="B11" s="125" t="s">
        <v>10</v>
      </c>
      <c r="C11" s="126"/>
      <c r="D11" s="127"/>
      <c r="E11" s="9">
        <f>-E10*'Fane 5. Individuelt eff. krav'!G9</f>
        <v>-2127.5787378739719</v>
      </c>
      <c r="F11" s="14" t="s">
        <v>3</v>
      </c>
      <c r="G11" s="1"/>
    </row>
    <row r="12" spans="1:7" x14ac:dyDescent="0.25">
      <c r="A12" s="1"/>
      <c r="B12" s="125" t="s">
        <v>24</v>
      </c>
      <c r="C12" s="126"/>
      <c r="D12" s="127"/>
      <c r="E12" s="9">
        <f>-E10*'Fane 15. Nøgletal'!C31</f>
        <v>-2297.1124792486012</v>
      </c>
      <c r="F12" s="14" t="s">
        <v>3</v>
      </c>
      <c r="G12" s="1"/>
    </row>
    <row r="13" spans="1:7" x14ac:dyDescent="0.25">
      <c r="A13" s="1"/>
      <c r="B13" s="131" t="s">
        <v>92</v>
      </c>
      <c r="C13" s="132"/>
      <c r="D13" s="133"/>
      <c r="E13" s="12">
        <f>SUM(E10:E12)*(1+'Fane 15. Nøgletal'!C15)^2</f>
        <v>118433.57090369747</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63" t="s">
        <v>224</v>
      </c>
      <c r="C16" s="164"/>
      <c r="D16" s="165"/>
      <c r="E16" s="9">
        <v>114855.62396243007</v>
      </c>
      <c r="F16" s="14" t="s">
        <v>3</v>
      </c>
      <c r="G16" s="1"/>
    </row>
    <row r="17" spans="1:7" x14ac:dyDescent="0.25">
      <c r="A17" s="1"/>
      <c r="B17" s="125" t="s">
        <v>10</v>
      </c>
      <c r="C17" s="126"/>
      <c r="D17" s="127"/>
      <c r="E17" s="9">
        <f>-E16*'Fane 5. Individuelt eff. krav'!G9</f>
        <v>-2127.5787378739719</v>
      </c>
      <c r="F17" s="14" t="s">
        <v>3</v>
      </c>
      <c r="G17" s="1"/>
    </row>
    <row r="18" spans="1:7" x14ac:dyDescent="0.25">
      <c r="A18" s="1"/>
      <c r="B18" s="125" t="s">
        <v>24</v>
      </c>
      <c r="C18" s="126"/>
      <c r="D18" s="127"/>
      <c r="E18" s="9">
        <f>-E16*'Fane 15. Nøgletal'!C31</f>
        <v>-2297.1124792486012</v>
      </c>
      <c r="F18" s="14" t="s">
        <v>3</v>
      </c>
      <c r="G18" s="1"/>
    </row>
    <row r="19" spans="1:7" x14ac:dyDescent="0.25">
      <c r="A19" s="1"/>
      <c r="B19" s="131" t="s">
        <v>131</v>
      </c>
      <c r="C19" s="132"/>
      <c r="D19" s="133"/>
      <c r="E19" s="12">
        <f>SUM(E16:E18)*(1+'Fane 15. Nøgletal'!C15)^3</f>
        <v>122649.80602786911</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63" t="s">
        <v>224</v>
      </c>
      <c r="C22" s="164"/>
      <c r="D22" s="165"/>
      <c r="E22" s="9">
        <v>114855.62396243007</v>
      </c>
      <c r="F22" s="14" t="s">
        <v>3</v>
      </c>
      <c r="G22" s="1"/>
    </row>
    <row r="23" spans="1:7" x14ac:dyDescent="0.25">
      <c r="A23" s="1"/>
      <c r="B23" s="125" t="s">
        <v>10</v>
      </c>
      <c r="C23" s="126"/>
      <c r="D23" s="127"/>
      <c r="E23" s="9">
        <f>-E22*'Fane 5. Individuelt eff. krav'!G9</f>
        <v>-2127.5787378739719</v>
      </c>
      <c r="F23" s="14" t="s">
        <v>3</v>
      </c>
      <c r="G23" s="1"/>
    </row>
    <row r="24" spans="1:7" x14ac:dyDescent="0.25">
      <c r="A24" s="1"/>
      <c r="B24" s="125" t="s">
        <v>24</v>
      </c>
      <c r="C24" s="126"/>
      <c r="D24" s="127"/>
      <c r="E24" s="9">
        <f>-E22*'Fane 15. Nøgletal'!C31</f>
        <v>-2297.1124792486012</v>
      </c>
      <c r="F24" s="14" t="s">
        <v>3</v>
      </c>
      <c r="G24" s="1"/>
    </row>
    <row r="25" spans="1:7" x14ac:dyDescent="0.25">
      <c r="A25" s="1"/>
      <c r="B25" s="131" t="s">
        <v>158</v>
      </c>
      <c r="C25" s="132"/>
      <c r="D25" s="133"/>
      <c r="E25" s="12">
        <f>SUM(E22:E24)*(1+'Fane 15. Nøgletal'!C15)^4</f>
        <v>127016.13912246126</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63" t="s">
        <v>224</v>
      </c>
      <c r="C28" s="164"/>
      <c r="D28" s="165"/>
      <c r="E28" s="9">
        <v>114855.62396243007</v>
      </c>
      <c r="F28" s="14" t="s">
        <v>3</v>
      </c>
      <c r="G28" s="1"/>
    </row>
    <row r="29" spans="1:7" x14ac:dyDescent="0.25">
      <c r="A29" s="1"/>
      <c r="B29" s="125" t="s">
        <v>10</v>
      </c>
      <c r="C29" s="126"/>
      <c r="D29" s="127"/>
      <c r="E29" s="9">
        <f>-E28*'Fane 5. Individuelt eff. krav'!G9</f>
        <v>-2127.5787378739719</v>
      </c>
      <c r="F29" s="14" t="s">
        <v>3</v>
      </c>
      <c r="G29" s="1"/>
    </row>
    <row r="30" spans="1:7" x14ac:dyDescent="0.25">
      <c r="A30" s="1"/>
      <c r="B30" s="125" t="s">
        <v>24</v>
      </c>
      <c r="C30" s="126"/>
      <c r="D30" s="127"/>
      <c r="E30" s="9">
        <f>-E28*'Fane 15. Nøgletal'!C31</f>
        <v>-2297.1124792486012</v>
      </c>
      <c r="F30" s="14" t="s">
        <v>3</v>
      </c>
      <c r="G30" s="1"/>
    </row>
    <row r="31" spans="1:7" x14ac:dyDescent="0.25">
      <c r="A31" s="1"/>
      <c r="B31" s="131" t="s">
        <v>215</v>
      </c>
      <c r="C31" s="132"/>
      <c r="D31" s="133"/>
      <c r="E31" s="12">
        <f>SUM(E28:E30)*(1+'Fane 15. Nøgletal'!C15)^5</f>
        <v>131537.91367522089</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2fK/mXg91tYUSQNqtWjQW4OemBG70/TF9ULjLhkzOsQFrcQdPmpOpu6GT91xJHZ0sYTM5KNinYC9+EcQxG2qg==" saltValue="p4K8kuto0zRo8JY6zdXDf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85546875" style="2" customWidth="1"/>
    <col min="2" max="2" width="41.7109375" style="2" customWidth="1"/>
    <col min="3" max="3" width="15.5703125" style="2" customWidth="1"/>
    <col min="4" max="4" width="3.28515625" style="2" customWidth="1"/>
    <col min="5" max="5" width="17.140625" style="2" customWidth="1"/>
    <col min="6" max="6" width="3.28515625" style="2" customWidth="1"/>
    <col min="7" max="7" width="2.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259</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269</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g/qsa9EVRSiGCz5pXs3HcOazizwFLumn35ipGWl53emfxEzDHDlI8hhyxc6uvrDMrnGYwLIgT58DvJo9YN+qMQ==" saltValue="8+jyr4vc9DC+G48ZJUnr+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260</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E7NNXTpkPnQfEylAaHhDyFUt0t8XCgq9CXBKCPNUFJdnPrYk9FriKjS1VPJZ5Yy1aWwKrx0p0BL9vrC4R72Mzw==" saltValue="YR3RnFKGBgZhZZAVmKba/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51738450.404818006</v>
      </c>
      <c r="D9" s="8" t="s">
        <v>3</v>
      </c>
      <c r="E9" s="1"/>
    </row>
    <row r="10" spans="1:5" ht="17.25" customHeight="1" x14ac:dyDescent="0.25">
      <c r="A10" s="1"/>
      <c r="B10" s="82" t="s">
        <v>39</v>
      </c>
      <c r="C10" s="7">
        <f>'Fane 11.1. Varige tillæg'!C16</f>
        <v>650683.01400000008</v>
      </c>
      <c r="D10" s="8" t="s">
        <v>3</v>
      </c>
      <c r="E10" s="1"/>
    </row>
    <row r="11" spans="1:5" ht="17.25" customHeight="1" x14ac:dyDescent="0.25">
      <c r="A11" s="1"/>
      <c r="B11" s="82" t="s">
        <v>40</v>
      </c>
      <c r="C11" s="9">
        <f>'Fane 11.1. Varige tillæg'!E16</f>
        <v>6049714.2288000006</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409271.02817957941</v>
      </c>
      <c r="D16" s="8" t="s">
        <v>3</v>
      </c>
      <c r="E16" s="1"/>
    </row>
    <row r="17" spans="1:5" ht="17.25" customHeight="1" x14ac:dyDescent="0.25">
      <c r="A17" s="1"/>
      <c r="B17" s="82" t="s">
        <v>10</v>
      </c>
      <c r="C17" s="44">
        <f>-SUM(C9,C10:C16)*'Fane 5. Individuelt eff. krav'!G9</f>
        <v>-1090099.0455588493</v>
      </c>
      <c r="D17" s="8" t="s">
        <v>3</v>
      </c>
      <c r="E17" s="1"/>
    </row>
    <row r="18" spans="1:5" ht="17.25" customHeight="1" x14ac:dyDescent="0.25">
      <c r="A18" s="1"/>
      <c r="B18" s="82" t="s">
        <v>24</v>
      </c>
      <c r="C18" s="44">
        <f>-'Fane 4.1. Gen. krav - drift'!G45</f>
        <v>-334763.07004073728</v>
      </c>
      <c r="D18" s="8" t="s">
        <v>3</v>
      </c>
      <c r="E18" s="1"/>
    </row>
    <row r="19" spans="1:5" ht="17.25" customHeight="1" x14ac:dyDescent="0.25">
      <c r="A19" s="1"/>
      <c r="B19" s="82" t="s">
        <v>25</v>
      </c>
      <c r="C19" s="44">
        <f>-'Fane 4.2. Gen. krav - anlæg'!G43</f>
        <v>-607939.95208062162</v>
      </c>
      <c r="D19" s="8" t="s">
        <v>3</v>
      </c>
      <c r="E19" s="48"/>
    </row>
    <row r="20" spans="1:5" ht="17.25" customHeight="1" x14ac:dyDescent="0.25">
      <c r="A20" s="1"/>
      <c r="B20" s="88" t="s">
        <v>21</v>
      </c>
      <c r="C20" s="10">
        <f>SUM(C9:C19)</f>
        <v>56815316.608117372</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omk.'!C14+'Fane 6. Ikke-påvirkelige omk.'!C18+'Fane 6. Ikke-påvirkelige omk.'!C26</f>
        <v>39212658.402635522</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118433.57090369747</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6491540.9007460801</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-250079.73504648422</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6241461.1656995956</v>
      </c>
      <c r="D30" s="11" t="s">
        <v>3</v>
      </c>
      <c r="E30" s="1"/>
    </row>
    <row r="31" spans="1:5" x14ac:dyDescent="0.25">
      <c r="A31" s="1"/>
      <c r="B31" s="32" t="s">
        <v>143</v>
      </c>
      <c r="C31" s="27"/>
      <c r="D31" s="19"/>
      <c r="E31" s="1"/>
    </row>
    <row r="32" spans="1:5" x14ac:dyDescent="0.25">
      <c r="A32" s="1"/>
      <c r="B32" s="30" t="s">
        <v>180</v>
      </c>
      <c r="C32" s="10">
        <f>'Fane 7. Kontrol af ØR2021'!E28</f>
        <v>-4198859.6188930944</v>
      </c>
      <c r="D32" s="11" t="s">
        <v>3</v>
      </c>
      <c r="E32" s="1"/>
    </row>
    <row r="33" spans="1:5" ht="15" customHeight="1" x14ac:dyDescent="0.25">
      <c r="A33" s="1"/>
      <c r="B33" s="32" t="s">
        <v>185</v>
      </c>
      <c r="C33" s="27"/>
      <c r="D33" s="19"/>
      <c r="E33" s="1"/>
    </row>
    <row r="34" spans="1:5" x14ac:dyDescent="0.25">
      <c r="A34" s="1"/>
      <c r="B34" s="30" t="s">
        <v>185</v>
      </c>
      <c r="C34" s="10">
        <f>'Fane 9. Korrektion af ØR2021'!E17</f>
        <v>-2357237.3234515437</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95831772.805011541</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DUk7I5AG3TIggjcuc9onEDMvpI+jph9NgXXibHL65h2WK43My7p0PIzxmyWkRrTs+qHhdy7RnNitfwBxaxpCfg==" saltValue="ETdExUd5MJiHytEM2xBdZ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9" t="s">
        <v>261</v>
      </c>
      <c r="C3" s="139"/>
      <c r="D3" s="1"/>
    </row>
    <row r="4" spans="1:4" ht="25.5" customHeight="1" x14ac:dyDescent="0.25">
      <c r="A4" s="1"/>
      <c r="B4" s="139"/>
      <c r="C4" s="13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UDcQOek/gYLk9dbfGe/rnq+qLU93UBhAr35roFwlxvkMGZOoda/z8b4/75iP74FmRqMOsY1Pzwm5iGHVB13/Tw==" saltValue="C5/VY2UvNtTNzWkDh3WYP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55" style="2" customWidth="1"/>
    <col min="3" max="3" width="15.7109375" style="2" customWidth="1"/>
    <col min="4" max="4" width="3.28515625" style="2" customWidth="1"/>
    <col min="5" max="5" width="5.57031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56815316.608117372</v>
      </c>
      <c r="D9" s="8" t="s">
        <v>3</v>
      </c>
      <c r="E9" s="1"/>
    </row>
    <row r="10" spans="1:5" ht="15" customHeight="1" x14ac:dyDescent="0.25">
      <c r="A10" s="1"/>
      <c r="B10" s="25" t="s">
        <v>19</v>
      </c>
      <c r="C10" s="7">
        <f>SUM(C9:C9)*'Fane 15. Nøgletal'!C15</f>
        <v>2022625.2712489783</v>
      </c>
      <c r="D10" s="8" t="s">
        <v>3</v>
      </c>
      <c r="E10" s="1"/>
    </row>
    <row r="11" spans="1:5" ht="15" customHeight="1" x14ac:dyDescent="0.25">
      <c r="A11" s="1"/>
      <c r="B11" s="25" t="s">
        <v>10</v>
      </c>
      <c r="C11" s="9">
        <f>-SUM(C9:C10)*'Fane 5. Individuelt eff. krav'!G9</f>
        <v>-1089910.5311878524</v>
      </c>
      <c r="D11" s="8" t="s">
        <v>3</v>
      </c>
      <c r="E11" s="1"/>
    </row>
    <row r="12" spans="1:5" ht="15" customHeight="1" x14ac:dyDescent="0.25">
      <c r="A12" s="1"/>
      <c r="B12" s="25" t="s">
        <v>24</v>
      </c>
      <c r="C12" s="9">
        <f>-'Fane 4.1. Gen. krav - drift'!G53</f>
        <v>-339747.02262750379</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57408284.325550996</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Nøgletal'!C15)+'Fane 6. Ikke-påvirkelige omk.'!C26+'Fane 6. Ikke-påvirkelige omk.'!C34</f>
        <v>40608629.041769348</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122649.80602786911</v>
      </c>
      <c r="D18" s="11" t="s">
        <v>3</v>
      </c>
      <c r="E18" s="1"/>
    </row>
    <row r="19" spans="1:5" x14ac:dyDescent="0.25">
      <c r="A19" s="1"/>
      <c r="B19" s="32" t="s">
        <v>143</v>
      </c>
      <c r="C19" s="27"/>
      <c r="D19" s="19"/>
      <c r="E19" s="1"/>
    </row>
    <row r="20" spans="1:5" ht="15" customHeight="1" x14ac:dyDescent="0.25">
      <c r="A20" s="1"/>
      <c r="B20" s="30" t="s">
        <v>180</v>
      </c>
      <c r="C20" s="10">
        <f>'Fane 7. Kontrol af ØR2021'!E34</f>
        <v>-553130.77132275328</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97586432.402025461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hmZS5FCPUXg4v9x0+twGhlamhhVX/UqzRClN3Li4mVgyiEn6FSl8sV5khdsyVqMk98WIi/zHqP0Ntxa8Q2ZS3Q==" saltValue="dhljiKiJ9gpwv10tz6f3m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57408284.325550996</v>
      </c>
      <c r="D9" s="8" t="s">
        <v>3</v>
      </c>
      <c r="E9" s="1"/>
    </row>
    <row r="10" spans="1:5" ht="15" customHeight="1" x14ac:dyDescent="0.25">
      <c r="A10" s="1"/>
      <c r="B10" s="25" t="s">
        <v>19</v>
      </c>
      <c r="C10" s="7">
        <f>SUM(C9:C9)*'Fane 15. Nøgletal'!C15</f>
        <v>2043734.9219896155</v>
      </c>
      <c r="D10" s="8" t="s">
        <v>3</v>
      </c>
      <c r="E10" s="1"/>
    </row>
    <row r="11" spans="1:5" ht="15" customHeight="1" x14ac:dyDescent="0.25">
      <c r="A11" s="1"/>
      <c r="B11" s="25" t="s">
        <v>10</v>
      </c>
      <c r="C11" s="9">
        <f>-SUM(C9:C10)*'Fane 5. Individuelt eff. krav'!G9</f>
        <v>-1101285.6637835754</v>
      </c>
      <c r="D11" s="8" t="s">
        <v>3</v>
      </c>
      <c r="E11" s="1"/>
    </row>
    <row r="12" spans="1:5" ht="15" customHeight="1" x14ac:dyDescent="0.25">
      <c r="A12" s="1"/>
      <c r="B12" s="25" t="s">
        <v>24</v>
      </c>
      <c r="C12" s="9">
        <f>-'Fane 4.1. Gen. krav - drift'!G58</f>
        <v>-344805.17630038213</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58005928.407456651</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Nøgletal'!C15)^2+'Fane 6. Ikke-påvirkelige omk.'!C20+'Fane 6. Ikke-påvirkelige omk.'!C28</f>
        <v>42054296.235656336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127016.13912246126</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-553130.77132275328</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99634110.010912687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sGz7QnhQnSDnUmeC0neStOz5ykXlV7jtXlfjq7xE6OjCkeihe0d6nLF0JdDOfV9B32ThsdSWGfptxLHs2o2kGg==" saltValue="8V1t9x190u8UQS/Zet6gz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54.14062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58005928.407456651</v>
      </c>
      <c r="D9" s="8" t="s">
        <v>3</v>
      </c>
      <c r="E9" s="1"/>
    </row>
    <row r="10" spans="1:5" ht="15" customHeight="1" x14ac:dyDescent="0.25">
      <c r="A10" s="1"/>
      <c r="B10" s="25" t="s">
        <v>19</v>
      </c>
      <c r="C10" s="7">
        <f>SUM(C9:C9)*'Fane 15. Nøgletal'!C15</f>
        <v>2065011.0513054568</v>
      </c>
      <c r="D10" s="8" t="s">
        <v>3</v>
      </c>
      <c r="E10" s="1"/>
    </row>
    <row r="11" spans="1:5" ht="15" customHeight="1" x14ac:dyDescent="0.25">
      <c r="A11" s="1"/>
      <c r="B11" s="25" t="s">
        <v>10</v>
      </c>
      <c r="C11" s="9">
        <f>-SUM(C9:C10)*'Fane 5. Individuelt eff. krav'!G9</f>
        <v>-1112750.5049154826</v>
      </c>
      <c r="D11" s="8" t="s">
        <v>3</v>
      </c>
      <c r="E11" s="1"/>
    </row>
    <row r="12" spans="1:5" ht="15" customHeight="1" x14ac:dyDescent="0.25">
      <c r="A12" s="1"/>
      <c r="B12" s="25" t="s">
        <v>24</v>
      </c>
      <c r="C12" s="9">
        <f>-'Fane 4.1. Gen. krav - drift'!G63</f>
        <v>-349938.63576514221</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58608250.318081483</v>
      </c>
      <c r="D14" s="11" t="s">
        <v>3</v>
      </c>
      <c r="E14" s="1"/>
    </row>
    <row r="15" spans="1:5" x14ac:dyDescent="0.25">
      <c r="A15" s="1"/>
      <c r="B15" s="32" t="s">
        <v>12</v>
      </c>
      <c r="C15" s="27"/>
      <c r="D15" s="19"/>
      <c r="E15" s="1"/>
    </row>
    <row r="16" spans="1:5" ht="15" customHeight="1" x14ac:dyDescent="0.25">
      <c r="A16" s="1"/>
      <c r="B16" s="30" t="s">
        <v>12</v>
      </c>
      <c r="C16" s="10">
        <f>'Fane 6. Ikke-påvirkelige omk.'!C14*(1+'Fane 15. Nøgletal'!C15)^3+'Fane 6. Ikke-påvirkelige omk.'!C21+'Fane 6. Ikke-påvirkelige omk.'!C29</f>
        <v>43551429.181645706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131537.91367522089</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-553130.77132275328</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101738086.64207965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l2dKNQbmCTDe7vgYK4R06nxcujvSpD6cZqllIka91d4L5Cq3I/xJIhWgxfake+y4w8S40MxEPiejhx2+wvecKA==" saltValue="KwyAp+sRklgprHsGztLEF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9.5703125"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191</v>
      </c>
      <c r="C3" s="139"/>
      <c r="D3" s="139"/>
      <c r="E3" s="139"/>
      <c r="F3" s="139"/>
      <c r="G3" s="1"/>
    </row>
    <row r="4" spans="1:7" ht="29.2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288</v>
      </c>
      <c r="C8" s="27"/>
      <c r="D8" s="27"/>
      <c r="E8" s="27"/>
      <c r="F8" s="19"/>
      <c r="G8" s="1"/>
    </row>
    <row r="9" spans="1:7" ht="15" customHeight="1" x14ac:dyDescent="0.25">
      <c r="A9" s="1"/>
      <c r="B9" s="134" t="s">
        <v>192</v>
      </c>
      <c r="C9" s="135"/>
      <c r="D9" s="136"/>
      <c r="E9" s="7">
        <v>51885982.274032868</v>
      </c>
      <c r="F9" s="8" t="s">
        <v>3</v>
      </c>
      <c r="G9" s="1"/>
    </row>
    <row r="10" spans="1:7" ht="15" customHeight="1" x14ac:dyDescent="0.25">
      <c r="A10" s="1"/>
      <c r="B10" s="125" t="s">
        <v>39</v>
      </c>
      <c r="C10" s="126"/>
      <c r="D10" s="127"/>
      <c r="E10" s="7">
        <v>300121.1422</v>
      </c>
      <c r="F10" s="8" t="s">
        <v>3</v>
      </c>
      <c r="G10" s="1"/>
    </row>
    <row r="11" spans="1:7" ht="15" customHeight="1" x14ac:dyDescent="0.25">
      <c r="A11" s="1"/>
      <c r="B11" s="125" t="s">
        <v>40</v>
      </c>
      <c r="C11" s="126"/>
      <c r="D11" s="127"/>
      <c r="E11" s="9">
        <v>1311874.9480000001</v>
      </c>
      <c r="F11" s="8" t="s">
        <v>3</v>
      </c>
      <c r="G11" s="1"/>
    </row>
    <row r="12" spans="1:7" ht="15" customHeight="1" x14ac:dyDescent="0.25">
      <c r="A12" s="1"/>
      <c r="B12" s="125" t="s">
        <v>27</v>
      </c>
      <c r="C12" s="126"/>
      <c r="D12" s="127"/>
      <c r="E12" s="9">
        <v>0</v>
      </c>
      <c r="F12" s="8" t="s">
        <v>3</v>
      </c>
      <c r="G12" s="1"/>
    </row>
    <row r="13" spans="1:7" ht="15" customHeight="1" x14ac:dyDescent="0.25">
      <c r="A13" s="1"/>
      <c r="B13" s="134" t="s">
        <v>26</v>
      </c>
      <c r="C13" s="135"/>
      <c r="D13" s="136"/>
      <c r="E13" s="9">
        <v>0</v>
      </c>
      <c r="F13" s="8" t="s">
        <v>3</v>
      </c>
      <c r="G13" s="1"/>
    </row>
    <row r="14" spans="1:7" ht="15" customHeight="1" x14ac:dyDescent="0.25">
      <c r="A14" s="1"/>
      <c r="B14" s="134" t="s">
        <v>29</v>
      </c>
      <c r="C14" s="135"/>
      <c r="D14" s="136"/>
      <c r="E14" s="9">
        <v>0</v>
      </c>
      <c r="F14" s="8" t="s">
        <v>3</v>
      </c>
      <c r="G14" s="1"/>
    </row>
    <row r="15" spans="1:7" ht="15" customHeight="1" x14ac:dyDescent="0.25">
      <c r="A15" s="1"/>
      <c r="B15" s="134" t="s">
        <v>28</v>
      </c>
      <c r="C15" s="135"/>
      <c r="D15" s="136"/>
      <c r="E15" s="9">
        <v>0</v>
      </c>
      <c r="F15" s="8" t="s">
        <v>3</v>
      </c>
      <c r="G15" s="1"/>
    </row>
    <row r="16" spans="1:7" ht="15" customHeight="1" x14ac:dyDescent="0.25">
      <c r="A16" s="1"/>
      <c r="B16" s="134" t="s">
        <v>19</v>
      </c>
      <c r="C16" s="135"/>
      <c r="D16" s="136"/>
      <c r="E16" s="9">
        <f>SUM(E9:E15)*'Fane 15. Nøgletal'!C14</f>
        <v>176543.32860196847</v>
      </c>
      <c r="F16" s="8" t="s">
        <v>3</v>
      </c>
      <c r="G16" s="1"/>
    </row>
    <row r="17" spans="1:7" ht="15" customHeight="1" x14ac:dyDescent="0.25">
      <c r="A17" s="1"/>
      <c r="B17" s="134" t="s">
        <v>10</v>
      </c>
      <c r="C17" s="135"/>
      <c r="D17" s="136"/>
      <c r="E17" s="9">
        <v>-994263.64316809678</v>
      </c>
      <c r="F17" s="8" t="s">
        <v>3</v>
      </c>
      <c r="G17" s="1"/>
    </row>
    <row r="18" spans="1:7" ht="15" customHeight="1" x14ac:dyDescent="0.25">
      <c r="A18" s="1"/>
      <c r="B18" s="134" t="s">
        <v>24</v>
      </c>
      <c r="C18" s="135"/>
      <c r="D18" s="136"/>
      <c r="E18" s="9">
        <f>-'Fane 4.1. Gen. krav - drift'!G39</f>
        <v>-326764.65973996959</v>
      </c>
      <c r="F18" s="8" t="s">
        <v>3</v>
      </c>
      <c r="G18" s="1"/>
    </row>
    <row r="19" spans="1:7" ht="15" customHeight="1" x14ac:dyDescent="0.25">
      <c r="A19" s="1"/>
      <c r="B19" s="134" t="s">
        <v>25</v>
      </c>
      <c r="C19" s="135"/>
      <c r="D19" s="136"/>
      <c r="E19" s="9">
        <f>-'Fane 4.2. Gen. krav - anlæg'!G37</f>
        <v>-615042.98510876507</v>
      </c>
      <c r="F19" s="8" t="s">
        <v>3</v>
      </c>
      <c r="G19" s="1"/>
    </row>
    <row r="20" spans="1:7" ht="15" customHeight="1" x14ac:dyDescent="0.25">
      <c r="A20" s="1"/>
      <c r="B20" s="54" t="s">
        <v>21</v>
      </c>
      <c r="C20" s="99"/>
      <c r="D20" s="101"/>
      <c r="E20" s="51">
        <f>SUM(E9:E19)</f>
        <v>51738450.404818006</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33744314.882203005</v>
      </c>
      <c r="F22" s="11" t="s">
        <v>3</v>
      </c>
      <c r="G22" s="1"/>
    </row>
    <row r="23" spans="1:7" ht="15" customHeight="1" x14ac:dyDescent="0.25">
      <c r="A23" s="1"/>
      <c r="B23" s="131" t="s">
        <v>86</v>
      </c>
      <c r="C23" s="132"/>
      <c r="D23" s="133"/>
      <c r="E23" s="27"/>
      <c r="F23" s="19"/>
      <c r="G23" s="1"/>
    </row>
    <row r="24" spans="1:7" ht="15" customHeight="1" x14ac:dyDescent="0.25">
      <c r="A24" s="1"/>
      <c r="B24" s="98" t="s">
        <v>86</v>
      </c>
      <c r="C24" s="37"/>
      <c r="D24" s="38"/>
      <c r="E24" s="10">
        <v>109821.16132610565</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7" t="s">
        <v>87</v>
      </c>
      <c r="C28" s="138"/>
      <c r="D28" s="138"/>
      <c r="E28" s="39">
        <v>0</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-4198859.6188930944</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81393726.82945402</v>
      </c>
      <c r="F35" s="52" t="s">
        <v>3</v>
      </c>
      <c r="G35" s="1"/>
    </row>
    <row r="36" spans="1:7" ht="27" customHeight="1" x14ac:dyDescent="0.25">
      <c r="A36" s="1"/>
      <c r="B36" s="134" t="s">
        <v>222</v>
      </c>
      <c r="C36" s="135"/>
      <c r="D36" s="135"/>
      <c r="E36" s="135"/>
      <c r="F36" s="1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ftc+jtvTBI90U0TNVfwuydBD6R/1oQZzqR/gcn/gxvM6rZlLZ6Gj0jqZ65Q5bnvwwELJTLd0BPI3flZttjFOYA==" saltValue="+ZjCLOP2fWhfDWCDCfY+RQ=="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2" style="2" customWidth="1"/>
    <col min="2" max="5" width="9.140625" style="2"/>
    <col min="6" max="6" width="27" style="2" customWidth="1"/>
    <col min="7" max="7" width="16.28515625" style="2" customWidth="1"/>
    <col min="8" max="8" width="3.42578125" style="2" customWidth="1"/>
    <col min="9" max="9" width="2"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9" t="s">
        <v>109</v>
      </c>
      <c r="C2" s="139"/>
      <c r="D2" s="139"/>
      <c r="E2" s="139"/>
      <c r="F2" s="139"/>
      <c r="G2" s="139"/>
      <c r="H2" s="139"/>
      <c r="I2" s="1"/>
    </row>
    <row r="3" spans="1:9" ht="28.5" customHeight="1" x14ac:dyDescent="0.25">
      <c r="A3" s="1"/>
      <c r="B3" s="139"/>
      <c r="C3" s="139"/>
      <c r="D3" s="139"/>
      <c r="E3" s="139"/>
      <c r="F3" s="139"/>
      <c r="G3" s="139"/>
      <c r="H3" s="139"/>
      <c r="I3" s="1"/>
    </row>
    <row r="4" spans="1:9" x14ac:dyDescent="0.25">
      <c r="A4" s="1"/>
      <c r="B4" s="131" t="s">
        <v>52</v>
      </c>
      <c r="C4" s="132"/>
      <c r="D4" s="132"/>
      <c r="E4" s="132"/>
      <c r="F4" s="132"/>
      <c r="G4" s="132"/>
      <c r="H4" s="133"/>
      <c r="I4" s="1"/>
    </row>
    <row r="5" spans="1:9" x14ac:dyDescent="0.25">
      <c r="A5" s="1"/>
      <c r="B5" s="141" t="s">
        <v>41</v>
      </c>
      <c r="C5" s="142"/>
      <c r="D5" s="142"/>
      <c r="E5" s="142"/>
      <c r="F5" s="143"/>
      <c r="G5" s="76">
        <v>16341627</v>
      </c>
      <c r="H5" s="14" t="s">
        <v>3</v>
      </c>
      <c r="I5" s="1"/>
    </row>
    <row r="6" spans="1:9" x14ac:dyDescent="0.25">
      <c r="A6" s="1"/>
      <c r="B6" s="134" t="s">
        <v>120</v>
      </c>
      <c r="C6" s="135"/>
      <c r="D6" s="135"/>
      <c r="E6" s="135"/>
      <c r="F6" s="136"/>
      <c r="G6" s="77">
        <v>341207</v>
      </c>
      <c r="H6" s="14" t="s">
        <v>3</v>
      </c>
      <c r="I6" s="1"/>
    </row>
    <row r="7" spans="1:9" x14ac:dyDescent="0.25">
      <c r="A7" s="1"/>
      <c r="B7" s="141" t="s">
        <v>42</v>
      </c>
      <c r="C7" s="142"/>
      <c r="D7" s="142"/>
      <c r="E7" s="142"/>
      <c r="F7" s="143"/>
      <c r="G7" s="76">
        <f>SUM(G5:G6)*'Fane 15. Nøgletal'!C31</f>
        <v>333656.68</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40"/>
      <c r="H10" s="133"/>
      <c r="I10" s="1"/>
    </row>
    <row r="11" spans="1:9" x14ac:dyDescent="0.25">
      <c r="A11" s="1"/>
      <c r="B11" s="141" t="s">
        <v>43</v>
      </c>
      <c r="C11" s="142"/>
      <c r="D11" s="142"/>
      <c r="E11" s="142"/>
      <c r="F11" s="143"/>
      <c r="G11" s="76">
        <f>(G5-G7)*(1+'Fane 15. Nøgletal'!C10)</f>
        <v>16288109.800600002</v>
      </c>
      <c r="H11" s="14" t="s">
        <v>3</v>
      </c>
      <c r="I11" s="1"/>
    </row>
    <row r="12" spans="1:9" ht="15" customHeight="1" x14ac:dyDescent="0.25">
      <c r="A12" s="1"/>
      <c r="B12" s="141" t="s">
        <v>121</v>
      </c>
      <c r="C12" s="142"/>
      <c r="D12" s="142"/>
      <c r="E12" s="142"/>
      <c r="F12" s="143"/>
      <c r="G12" s="77">
        <v>0.64208514772355563</v>
      </c>
      <c r="H12" s="14" t="s">
        <v>3</v>
      </c>
      <c r="I12" s="1"/>
    </row>
    <row r="13" spans="1:9" x14ac:dyDescent="0.25">
      <c r="A13" s="1"/>
      <c r="B13" s="134" t="s">
        <v>118</v>
      </c>
      <c r="C13" s="135"/>
      <c r="D13" s="135"/>
      <c r="E13" s="135"/>
      <c r="F13" s="136"/>
      <c r="G13" s="77">
        <v>347178.1225</v>
      </c>
      <c r="H13" s="14" t="s">
        <v>3</v>
      </c>
      <c r="I13" s="1"/>
    </row>
    <row r="14" spans="1:9" x14ac:dyDescent="0.25">
      <c r="A14" s="1"/>
      <c r="B14" s="144" t="s">
        <v>44</v>
      </c>
      <c r="C14" s="145"/>
      <c r="D14" s="145"/>
      <c r="E14" s="145"/>
      <c r="F14" s="146"/>
      <c r="G14" s="77">
        <v>0</v>
      </c>
      <c r="H14" s="14" t="s">
        <v>3</v>
      </c>
      <c r="I14" s="1"/>
    </row>
    <row r="15" spans="1:9" x14ac:dyDescent="0.25">
      <c r="A15" s="1"/>
      <c r="B15" s="141" t="s">
        <v>45</v>
      </c>
      <c r="C15" s="142"/>
      <c r="D15" s="142"/>
      <c r="E15" s="142"/>
      <c r="F15" s="143"/>
      <c r="G15" s="76">
        <f>SUM(G11:G14)*'Fane 15. Nøgletal'!C31</f>
        <v>332705.77130370302</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40"/>
      <c r="H18" s="133"/>
      <c r="I18" s="1"/>
    </row>
    <row r="19" spans="1:9" x14ac:dyDescent="0.25">
      <c r="A19" s="1"/>
      <c r="B19" s="141" t="s">
        <v>46</v>
      </c>
      <c r="C19" s="142"/>
      <c r="D19" s="142"/>
      <c r="E19" s="142"/>
      <c r="F19" s="143"/>
      <c r="G19" s="76">
        <f>(SUM(G11:G12,G14)-(G15))*(1+'Fane 15. Nøgletal'!C10)</f>
        <v>16234624.253130624</v>
      </c>
      <c r="H19" s="14" t="s">
        <v>3</v>
      </c>
      <c r="I19" s="1"/>
    </row>
    <row r="20" spans="1:9" x14ac:dyDescent="0.25">
      <c r="A20" s="1"/>
      <c r="B20" s="144" t="s">
        <v>47</v>
      </c>
      <c r="C20" s="145"/>
      <c r="D20" s="145"/>
      <c r="E20" s="145"/>
      <c r="F20" s="146"/>
      <c r="G20" s="77">
        <v>0</v>
      </c>
      <c r="H20" s="14" t="s">
        <v>3</v>
      </c>
      <c r="I20" s="1"/>
    </row>
    <row r="21" spans="1:9" x14ac:dyDescent="0.25">
      <c r="A21" s="1"/>
      <c r="B21" s="141" t="s">
        <v>48</v>
      </c>
      <c r="C21" s="142"/>
      <c r="D21" s="142"/>
      <c r="E21" s="142"/>
      <c r="F21" s="143"/>
      <c r="G21" s="76">
        <f>SUM(G19:G20)*'Fane 15. Nøgletal'!C31</f>
        <v>324692.48506261251</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40"/>
      <c r="H24" s="133"/>
      <c r="I24" s="1"/>
    </row>
    <row r="25" spans="1:9" x14ac:dyDescent="0.25">
      <c r="A25" s="1"/>
      <c r="B25" s="141" t="s">
        <v>49</v>
      </c>
      <c r="C25" s="142"/>
      <c r="D25" s="142"/>
      <c r="E25" s="142"/>
      <c r="F25" s="143"/>
      <c r="G25" s="76">
        <f>(G19+G20-G21)*(1+'Fane 15. Nøgletal'!C12)</f>
        <v>16223357.423898952</v>
      </c>
      <c r="H25" s="14" t="s">
        <v>3</v>
      </c>
      <c r="I25" s="1"/>
    </row>
    <row r="26" spans="1:9" x14ac:dyDescent="0.25">
      <c r="A26" s="1"/>
      <c r="B26" s="144" t="s">
        <v>50</v>
      </c>
      <c r="C26" s="145"/>
      <c r="D26" s="145"/>
      <c r="E26" s="145"/>
      <c r="F26" s="146"/>
      <c r="G26" s="77">
        <v>72903.702142260008</v>
      </c>
      <c r="H26" s="14" t="s">
        <v>3</v>
      </c>
      <c r="I26" s="1"/>
    </row>
    <row r="27" spans="1:9" x14ac:dyDescent="0.25">
      <c r="A27" s="1"/>
      <c r="B27" s="141" t="s">
        <v>51</v>
      </c>
      <c r="C27" s="142"/>
      <c r="D27" s="142"/>
      <c r="E27" s="142"/>
      <c r="F27" s="143"/>
      <c r="G27" s="76">
        <f>(G25+G26)*'Fane 15. Nøgletal'!C31</f>
        <v>325925.22252082423</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40"/>
      <c r="H30" s="133"/>
      <c r="I30" s="1"/>
    </row>
    <row r="31" spans="1:9" x14ac:dyDescent="0.25">
      <c r="A31" s="1"/>
      <c r="B31" s="141" t="s">
        <v>59</v>
      </c>
      <c r="C31" s="142"/>
      <c r="D31" s="142"/>
      <c r="E31" s="142"/>
      <c r="F31" s="143"/>
      <c r="G31" s="76">
        <f>(G25+G26-G27)*(1+'Fane 15. Nøgletal'!C12)</f>
        <v>16284951.520819739</v>
      </c>
      <c r="H31" s="14" t="s">
        <v>3</v>
      </c>
      <c r="I31" s="1"/>
    </row>
    <row r="32" spans="1:9" x14ac:dyDescent="0.25">
      <c r="A32" s="1"/>
      <c r="B32" s="141" t="s">
        <v>137</v>
      </c>
      <c r="C32" s="142"/>
      <c r="D32" s="142"/>
      <c r="E32" s="142"/>
      <c r="F32" s="143"/>
      <c r="G32" s="76">
        <v>25633.187427960002</v>
      </c>
      <c r="H32" s="14" t="s">
        <v>3</v>
      </c>
      <c r="I32" s="1"/>
    </row>
    <row r="33" spans="1:9" x14ac:dyDescent="0.25">
      <c r="A33" s="1"/>
      <c r="B33" s="141" t="s">
        <v>60</v>
      </c>
      <c r="C33" s="142"/>
      <c r="D33" s="142"/>
      <c r="E33" s="142"/>
      <c r="F33" s="143"/>
      <c r="G33" s="76">
        <f>(G31+G32)*'Fane 15. Nøgletal'!C31</f>
        <v>326211.69416495401</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40"/>
      <c r="H36" s="133"/>
      <c r="I36" s="1"/>
    </row>
    <row r="37" spans="1:9" x14ac:dyDescent="0.25">
      <c r="A37" s="1"/>
      <c r="B37" s="141" t="s">
        <v>79</v>
      </c>
      <c r="C37" s="142"/>
      <c r="D37" s="142"/>
      <c r="E37" s="142"/>
      <c r="F37" s="143"/>
      <c r="G37" s="76">
        <f>(G31+G32-G33)*(1+'Fane 15. Nøgletal'!C14)</f>
        <v>16037121.44502922</v>
      </c>
      <c r="H37" s="14" t="s">
        <v>3</v>
      </c>
      <c r="I37" s="1"/>
    </row>
    <row r="38" spans="1:9" x14ac:dyDescent="0.25">
      <c r="A38" s="1"/>
      <c r="B38" s="141" t="s">
        <v>164</v>
      </c>
      <c r="C38" s="142"/>
      <c r="D38" s="142"/>
      <c r="E38" s="142"/>
      <c r="F38" s="143"/>
      <c r="G38" s="76">
        <v>301111.54196926003</v>
      </c>
      <c r="H38" s="14" t="s">
        <v>3</v>
      </c>
      <c r="I38" s="1"/>
    </row>
    <row r="39" spans="1:9" x14ac:dyDescent="0.25">
      <c r="A39" s="1"/>
      <c r="B39" s="141" t="s">
        <v>162</v>
      </c>
      <c r="C39" s="142"/>
      <c r="D39" s="142"/>
      <c r="E39" s="142"/>
      <c r="F39" s="143"/>
      <c r="G39" s="76">
        <f>(G37+G38)*'Fane 15. Nøgletal'!C31</f>
        <v>326764.65973996959</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40"/>
      <c r="H42" s="133"/>
      <c r="I42" s="1"/>
    </row>
    <row r="43" spans="1:9" x14ac:dyDescent="0.25">
      <c r="A43" s="1"/>
      <c r="B43" s="141" t="s">
        <v>228</v>
      </c>
      <c r="C43" s="142"/>
      <c r="D43" s="142"/>
      <c r="E43" s="142"/>
      <c r="F43" s="143"/>
      <c r="G43" s="76">
        <f>(G37+G38-G39)*(1+'Fane 15. Nøgletal'!C14)</f>
        <v>16064306.172738465</v>
      </c>
      <c r="H43" s="14" t="s">
        <v>3</v>
      </c>
      <c r="I43" s="1"/>
    </row>
    <row r="44" spans="1:9" x14ac:dyDescent="0.25">
      <c r="A44" s="1"/>
      <c r="B44" s="147" t="s">
        <v>230</v>
      </c>
      <c r="C44" s="148"/>
      <c r="D44" s="148"/>
      <c r="E44" s="148"/>
      <c r="F44" s="149"/>
      <c r="G44" s="80">
        <f>('Fane 2.1. Økonomisk ramme 2023'!C10+'Fane 2.1. Økonomisk ramme 2023'!C12+'Fane 2.1. Økonomisk ramme 2023'!C14)*(1+'Fane 15. Nøgletal'!C15)</f>
        <v>673847.32929840009</v>
      </c>
      <c r="H44" s="14" t="s">
        <v>3</v>
      </c>
      <c r="I44" s="1"/>
    </row>
    <row r="45" spans="1:9" x14ac:dyDescent="0.25">
      <c r="A45" s="1"/>
      <c r="B45" s="141" t="s">
        <v>163</v>
      </c>
      <c r="C45" s="142"/>
      <c r="D45" s="142"/>
      <c r="E45" s="142"/>
      <c r="F45" s="143"/>
      <c r="G45" s="76">
        <f>SUM(G43:G44)*'Fane 15. Nøgletal'!C31</f>
        <v>334763.07004073728</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40"/>
      <c r="H51" s="133"/>
      <c r="I51" s="1"/>
    </row>
    <row r="52" spans="1:9" x14ac:dyDescent="0.25">
      <c r="A52" s="1"/>
      <c r="B52" s="141" t="s">
        <v>227</v>
      </c>
      <c r="C52" s="142"/>
      <c r="D52" s="142"/>
      <c r="E52" s="142"/>
      <c r="F52" s="143"/>
      <c r="G52" s="76">
        <f>(G43+G44-G45)*(1+'Fane 15. Nøgletal'!C15)</f>
        <v>16987351.13137519</v>
      </c>
      <c r="H52" s="14" t="s">
        <v>3</v>
      </c>
      <c r="I52" s="1"/>
    </row>
    <row r="53" spans="1:9" x14ac:dyDescent="0.25">
      <c r="A53" s="1"/>
      <c r="B53" s="141" t="s">
        <v>138</v>
      </c>
      <c r="C53" s="142"/>
      <c r="D53" s="142"/>
      <c r="E53" s="142"/>
      <c r="F53" s="143"/>
      <c r="G53" s="76">
        <f>(G52)*'Fane 15. Nøgletal'!C31</f>
        <v>339747.02262750379</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40"/>
      <c r="H56" s="133"/>
      <c r="I56" s="1"/>
    </row>
    <row r="57" spans="1:9" x14ac:dyDescent="0.25">
      <c r="A57" s="1"/>
      <c r="B57" s="91" t="s">
        <v>151</v>
      </c>
      <c r="C57" s="92"/>
      <c r="D57" s="92"/>
      <c r="E57" s="92"/>
      <c r="F57" s="93"/>
      <c r="G57" s="76">
        <f>(G52-G53)*(1+'Fane 15. Nøgletal'!C15)</f>
        <v>17240258.815019105</v>
      </c>
      <c r="H57" s="14" t="s">
        <v>3</v>
      </c>
      <c r="I57" s="1"/>
    </row>
    <row r="58" spans="1:9" x14ac:dyDescent="0.25">
      <c r="A58" s="1"/>
      <c r="B58" s="91" t="s">
        <v>152</v>
      </c>
      <c r="C58" s="92"/>
      <c r="D58" s="92"/>
      <c r="E58" s="92"/>
      <c r="F58" s="93"/>
      <c r="G58" s="76">
        <f>(G57)*'Fane 15. Nøgletal'!C31</f>
        <v>344805.17630038213</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40"/>
      <c r="H61" s="133"/>
      <c r="I61" s="1"/>
    </row>
    <row r="62" spans="1:9" x14ac:dyDescent="0.25">
      <c r="A62" s="1"/>
      <c r="B62" s="91" t="s">
        <v>194</v>
      </c>
      <c r="C62" s="92"/>
      <c r="D62" s="92"/>
      <c r="E62" s="92"/>
      <c r="F62" s="93"/>
      <c r="G62" s="76">
        <f>(G57-G58)*(1+'Fane 15. Nøgletal'!C15)</f>
        <v>17496931.788257111</v>
      </c>
      <c r="H62" s="14" t="s">
        <v>3</v>
      </c>
      <c r="I62" s="1"/>
    </row>
    <row r="63" spans="1:9" x14ac:dyDescent="0.25">
      <c r="A63" s="1"/>
      <c r="B63" s="91" t="s">
        <v>195</v>
      </c>
      <c r="C63" s="92"/>
      <c r="D63" s="92"/>
      <c r="E63" s="92"/>
      <c r="F63" s="93"/>
      <c r="G63" s="76">
        <f>(G62)*'Fane 15. Nøgletal'!C31</f>
        <v>349938.63576514221</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fnTsQCbzYUsyszHlEkfy3mI4OiG2WeI4naZqsDJecFBOKU/aiivjsbg633NM0nwrJIczDA1PCBQvgVEt8fSG5g==" saltValue="YZo7XOk/BT1ZSznG2tfQuA=="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2.140625" style="2" customWidth="1"/>
    <col min="2" max="5" width="9.140625" style="2"/>
    <col min="6" max="6" width="28.5703125" style="2" customWidth="1"/>
    <col min="7" max="7" width="14.140625" style="2" customWidth="1"/>
    <col min="8" max="8" width="3.28515625" style="2" customWidth="1"/>
    <col min="9" max="9" width="2.2851562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1" t="s">
        <v>56</v>
      </c>
      <c r="C4" s="132"/>
      <c r="D4" s="132"/>
      <c r="E4" s="132"/>
      <c r="F4" s="132"/>
      <c r="G4" s="132"/>
      <c r="H4" s="133"/>
      <c r="I4" s="1"/>
    </row>
    <row r="5" spans="1:9" x14ac:dyDescent="0.25">
      <c r="A5" s="1"/>
      <c r="B5" s="141" t="s">
        <v>61</v>
      </c>
      <c r="C5" s="142"/>
      <c r="D5" s="142"/>
      <c r="E5" s="142"/>
      <c r="F5" s="143"/>
      <c r="G5" s="76">
        <v>36651127</v>
      </c>
      <c r="H5" s="14" t="s">
        <v>3</v>
      </c>
      <c r="I5" s="1"/>
    </row>
    <row r="6" spans="1:9" x14ac:dyDescent="0.25">
      <c r="A6" s="1"/>
      <c r="B6" s="141" t="s">
        <v>57</v>
      </c>
      <c r="C6" s="142"/>
      <c r="D6" s="142"/>
      <c r="E6" s="142"/>
      <c r="F6" s="143"/>
      <c r="G6" s="76">
        <f>G5*'Fane 15. Nøgletal'!C20</f>
        <v>333525.25570000004</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40"/>
      <c r="H9" s="133"/>
      <c r="I9" s="1"/>
    </row>
    <row r="10" spans="1:9" x14ac:dyDescent="0.25">
      <c r="A10" s="1"/>
      <c r="B10" s="141" t="s">
        <v>63</v>
      </c>
      <c r="C10" s="142"/>
      <c r="D10" s="142"/>
      <c r="E10" s="142"/>
      <c r="F10" s="143"/>
      <c r="G10" s="76">
        <f>(G5-G6)*(1+'Fane 15. Nøgletal'!C10)</f>
        <v>36953159.774825253</v>
      </c>
      <c r="H10" s="14" t="s">
        <v>3</v>
      </c>
      <c r="I10" s="1"/>
    </row>
    <row r="11" spans="1:9" x14ac:dyDescent="0.25">
      <c r="A11" s="1"/>
      <c r="B11" s="141" t="s">
        <v>122</v>
      </c>
      <c r="C11" s="142"/>
      <c r="D11" s="142"/>
      <c r="E11" s="142"/>
      <c r="F11" s="143"/>
      <c r="G11" s="76">
        <v>-737756.4879159698</v>
      </c>
      <c r="H11" s="14" t="s">
        <v>3</v>
      </c>
      <c r="I11" s="1"/>
    </row>
    <row r="12" spans="1:9" x14ac:dyDescent="0.25">
      <c r="A12" s="1"/>
      <c r="B12" s="144" t="s">
        <v>64</v>
      </c>
      <c r="C12" s="145"/>
      <c r="D12" s="145"/>
      <c r="E12" s="145"/>
      <c r="F12" s="146"/>
      <c r="G12" s="77">
        <v>0</v>
      </c>
      <c r="H12" s="14" t="s">
        <v>3</v>
      </c>
      <c r="I12" s="1"/>
    </row>
    <row r="13" spans="1:9" x14ac:dyDescent="0.25">
      <c r="A13" s="1"/>
      <c r="B13" s="141" t="s">
        <v>65</v>
      </c>
      <c r="C13" s="142"/>
      <c r="D13" s="142"/>
      <c r="E13" s="142"/>
      <c r="F13" s="143"/>
      <c r="G13" s="76">
        <f>SUM(G10:G12)*'Fane 15. Nøgletal'!C21</f>
        <v>641012.63817829429</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40"/>
      <c r="H16" s="133"/>
      <c r="I16" s="1"/>
    </row>
    <row r="17" spans="1:9" x14ac:dyDescent="0.25">
      <c r="A17" s="1"/>
      <c r="B17" s="141" t="s">
        <v>67</v>
      </c>
      <c r="C17" s="142"/>
      <c r="D17" s="142"/>
      <c r="E17" s="142"/>
      <c r="F17" s="143"/>
      <c r="G17" s="76">
        <f>(SUM(G10:G12)-G13)*(1+'Fane 15. Nøgletal'!C10)</f>
        <v>36196942.485083781</v>
      </c>
      <c r="H17" s="14" t="s">
        <v>3</v>
      </c>
      <c r="I17" s="1"/>
    </row>
    <row r="18" spans="1:9" x14ac:dyDescent="0.25">
      <c r="A18" s="1"/>
      <c r="B18" s="144" t="s">
        <v>68</v>
      </c>
      <c r="C18" s="145"/>
      <c r="D18" s="145"/>
      <c r="E18" s="145"/>
      <c r="F18" s="146"/>
      <c r="G18" s="76">
        <v>564660.1275417814</v>
      </c>
      <c r="H18" s="14" t="s">
        <v>3</v>
      </c>
      <c r="I18" s="1"/>
    </row>
    <row r="19" spans="1:9" x14ac:dyDescent="0.25">
      <c r="A19" s="1"/>
      <c r="B19" s="141" t="s">
        <v>69</v>
      </c>
      <c r="C19" s="142"/>
      <c r="D19" s="142"/>
      <c r="E19" s="142"/>
      <c r="F19" s="143"/>
      <c r="G19" s="76">
        <f>G17*'Fane 15. Nøgletal'!C21+G18*'Fane 15. Nøgletal'!C22</f>
        <v>645598.42509559647</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40"/>
      <c r="H22" s="133"/>
      <c r="I22" s="1"/>
    </row>
    <row r="23" spans="1:9" x14ac:dyDescent="0.25">
      <c r="A23" s="1"/>
      <c r="B23" s="141" t="s">
        <v>71</v>
      </c>
      <c r="C23" s="142"/>
      <c r="D23" s="142"/>
      <c r="E23" s="142"/>
      <c r="F23" s="143"/>
      <c r="G23" s="76">
        <f>(G17+G18-G19)*(1+'Fane 15. Nøgletal'!C12)</f>
        <v>36827489.47002431</v>
      </c>
      <c r="H23" s="14" t="s">
        <v>3</v>
      </c>
      <c r="I23" s="1"/>
    </row>
    <row r="24" spans="1:9" x14ac:dyDescent="0.25">
      <c r="A24" s="1"/>
      <c r="B24" s="144" t="s">
        <v>72</v>
      </c>
      <c r="C24" s="145"/>
      <c r="D24" s="145"/>
      <c r="E24" s="145"/>
      <c r="F24" s="146"/>
      <c r="G24" s="76">
        <v>1327728.6929763351</v>
      </c>
      <c r="H24" s="14" t="s">
        <v>3</v>
      </c>
      <c r="I24" s="1"/>
    </row>
    <row r="25" spans="1:9" x14ac:dyDescent="0.25">
      <c r="A25" s="1"/>
      <c r="B25" s="141" t="s">
        <v>73</v>
      </c>
      <c r="C25" s="142"/>
      <c r="D25" s="142"/>
      <c r="E25" s="142"/>
      <c r="F25" s="143"/>
      <c r="G25" s="76">
        <f>(G23+G24)*'Fane 15. Nøgletal'!C23</f>
        <v>1083608.1958292183</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40"/>
      <c r="H28" s="133"/>
      <c r="I28" s="1"/>
    </row>
    <row r="29" spans="1:9" x14ac:dyDescent="0.25">
      <c r="A29" s="1"/>
      <c r="B29" s="141" t="s">
        <v>75</v>
      </c>
      <c r="C29" s="142"/>
      <c r="D29" s="142"/>
      <c r="E29" s="142"/>
      <c r="F29" s="143"/>
      <c r="G29" s="76">
        <f>(G23+G24-G25)*(1+'Fane 15. Nøgletal'!C12)</f>
        <v>37801920.683524705</v>
      </c>
      <c r="H29" s="14" t="s">
        <v>3</v>
      </c>
      <c r="I29" s="1"/>
    </row>
    <row r="30" spans="1:9" x14ac:dyDescent="0.25">
      <c r="A30" s="1"/>
      <c r="B30" s="141" t="s">
        <v>139</v>
      </c>
      <c r="C30" s="142"/>
      <c r="D30" s="142"/>
      <c r="E30" s="142"/>
      <c r="F30" s="143"/>
      <c r="G30" s="76">
        <v>3475630.3064716798</v>
      </c>
      <c r="H30" s="14" t="s">
        <v>3</v>
      </c>
      <c r="I30" s="1"/>
    </row>
    <row r="31" spans="1:9" x14ac:dyDescent="0.25">
      <c r="A31" s="1"/>
      <c r="B31" s="141" t="s">
        <v>76</v>
      </c>
      <c r="C31" s="142"/>
      <c r="D31" s="142"/>
      <c r="E31" s="142"/>
      <c r="F31" s="143"/>
      <c r="G31" s="76">
        <f>G29*'Fane 15. Nøgletal'!C23+G30*'Fane 15. Nøgletal'!C24</f>
        <v>1169154.3808400729</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40"/>
      <c r="H34" s="133"/>
      <c r="I34" s="1"/>
    </row>
    <row r="35" spans="1:9" x14ac:dyDescent="0.25">
      <c r="A35" s="1"/>
      <c r="B35" s="141" t="s">
        <v>78</v>
      </c>
      <c r="C35" s="142"/>
      <c r="D35" s="142"/>
      <c r="E35" s="142"/>
      <c r="F35" s="143"/>
      <c r="G35" s="76">
        <f>(G29+G30-G31)*(1+'Fane 15. Nøgletal'!C14)</f>
        <v>40240754.317966536</v>
      </c>
      <c r="H35" s="14" t="s">
        <v>3</v>
      </c>
      <c r="I35" s="1"/>
    </row>
    <row r="36" spans="1:9" x14ac:dyDescent="0.25">
      <c r="A36" s="1"/>
      <c r="B36" s="141" t="s">
        <v>167</v>
      </c>
      <c r="C36" s="142"/>
      <c r="D36" s="142"/>
      <c r="E36" s="142"/>
      <c r="F36" s="143"/>
      <c r="G36" s="76">
        <v>1316204.1353284002</v>
      </c>
      <c r="H36" s="14" t="s">
        <v>3</v>
      </c>
      <c r="I36" s="1"/>
    </row>
    <row r="37" spans="1:9" x14ac:dyDescent="0.25">
      <c r="A37" s="1"/>
      <c r="B37" s="141" t="s">
        <v>166</v>
      </c>
      <c r="C37" s="142"/>
      <c r="D37" s="142"/>
      <c r="E37" s="142"/>
      <c r="F37" s="143"/>
      <c r="G37" s="76">
        <f>(G35+G36)*'Fane 15. Nøgletal'!C25</f>
        <v>615042.98510876507</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40"/>
      <c r="H40" s="133"/>
      <c r="I40" s="1"/>
    </row>
    <row r="41" spans="1:9" x14ac:dyDescent="0.25">
      <c r="A41" s="1"/>
      <c r="B41" s="141" t="s">
        <v>77</v>
      </c>
      <c r="C41" s="142"/>
      <c r="D41" s="142"/>
      <c r="E41" s="142"/>
      <c r="F41" s="143"/>
      <c r="G41" s="76">
        <f>(G35+G36-G37)*(1+'Fane 15. Nøgletal'!C14)</f>
        <v>41077023.789231189</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6265084.055345281</v>
      </c>
      <c r="H42" s="14" t="s">
        <v>3</v>
      </c>
      <c r="I42" s="1"/>
    </row>
    <row r="43" spans="1:9" x14ac:dyDescent="0.25">
      <c r="A43" s="1"/>
      <c r="B43" s="141" t="s">
        <v>168</v>
      </c>
      <c r="C43" s="142"/>
      <c r="D43" s="142"/>
      <c r="E43" s="142"/>
      <c r="F43" s="143"/>
      <c r="G43" s="76">
        <f>(G41)*'Fane 15. Nøgletal'!C25+G42*'Fane 15. Nøgletal'!C26</f>
        <v>607939.95208062162</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40"/>
      <c r="H52" s="133"/>
      <c r="I52" s="1"/>
    </row>
    <row r="53" spans="1:9" x14ac:dyDescent="0.25">
      <c r="A53" s="1"/>
      <c r="B53" s="141" t="s">
        <v>140</v>
      </c>
      <c r="C53" s="142"/>
      <c r="D53" s="142"/>
      <c r="E53" s="142"/>
      <c r="F53" s="143"/>
      <c r="G53" s="76">
        <f>(G41+G42-G43)*(1+'Fane 15. Nøgletal'!C15)</f>
        <v>48397904.269468702</v>
      </c>
      <c r="H53" s="14" t="s">
        <v>3</v>
      </c>
      <c r="I53" s="1"/>
    </row>
    <row r="54" spans="1:9" x14ac:dyDescent="0.25">
      <c r="A54" s="1"/>
      <c r="B54" s="141" t="s">
        <v>141</v>
      </c>
      <c r="C54" s="142"/>
      <c r="D54" s="142"/>
      <c r="E54" s="142"/>
      <c r="F54" s="143"/>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40"/>
      <c r="H57" s="133"/>
      <c r="I57" s="1"/>
    </row>
    <row r="58" spans="1:9" x14ac:dyDescent="0.25">
      <c r="A58" s="1"/>
      <c r="B58" s="141" t="s">
        <v>173</v>
      </c>
      <c r="C58" s="142"/>
      <c r="D58" s="142"/>
      <c r="E58" s="142"/>
      <c r="F58" s="143"/>
      <c r="G58" s="76">
        <f>(G53-G54)*(1+'Fane 15. Nøgletal'!C15)</f>
        <v>50120869.661461793</v>
      </c>
      <c r="H58" s="14" t="s">
        <v>3</v>
      </c>
      <c r="I58" s="1"/>
    </row>
    <row r="59" spans="1:9" x14ac:dyDescent="0.25">
      <c r="A59" s="1"/>
      <c r="B59" s="141" t="s">
        <v>174</v>
      </c>
      <c r="C59" s="142"/>
      <c r="D59" s="142"/>
      <c r="E59" s="142"/>
      <c r="F59" s="143"/>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40"/>
      <c r="H62" s="133"/>
      <c r="I62" s="1"/>
    </row>
    <row r="63" spans="1:9" x14ac:dyDescent="0.25">
      <c r="A63" s="1"/>
      <c r="B63" s="141" t="s">
        <v>197</v>
      </c>
      <c r="C63" s="142"/>
      <c r="D63" s="142"/>
      <c r="E63" s="142"/>
      <c r="F63" s="143"/>
      <c r="G63" s="76">
        <f>(G58-G59)*(1+'Fane 15. Nøgletal'!C15)</f>
        <v>51905172.621409833</v>
      </c>
      <c r="H63" s="14" t="s">
        <v>3</v>
      </c>
      <c r="I63" s="1"/>
    </row>
    <row r="64" spans="1:9" x14ac:dyDescent="0.25">
      <c r="A64" s="1"/>
      <c r="B64" s="141" t="s">
        <v>198</v>
      </c>
      <c r="C64" s="142"/>
      <c r="D64" s="142"/>
      <c r="E64" s="142"/>
      <c r="F64" s="143"/>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052OBn8x9X6/Vsi0naZW6PiIl3pAuVnWBgrh7h8Kbo/j2uyCs2QfY5GkM397S9WJ456jztLf62bxnpZmacUO/w==" saltValue="P5JAzP8hsOVuebN0zYB1aw=="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41" t="s">
        <v>154</v>
      </c>
      <c r="C9" s="142"/>
      <c r="D9" s="142"/>
      <c r="E9" s="142"/>
      <c r="F9" s="143"/>
      <c r="G9" s="35">
        <v>1.852394044343806E-2</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JyOdFeNpYdr9I42HNHa0Jy30cJplrbJle7Zgh4tNBrqMOqvwgR8PgnsGNdNBQdLOgniBD7znYmnYu62pksrDTA==" saltValue="TdfmoautJjSlETq6O8i8r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2022-12-06T11:32:28Z</dcterms:modified>
</cp:coreProperties>
</file>