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FFV Spildevand AS (S020)\ØR2024\"/>
    </mc:Choice>
  </mc:AlternateContent>
  <xr:revisionPtr revIDLastSave="0" documentId="13_ncr:1_{84577C2C-4AF0-4585-83EB-D7A4664E533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32" i="2" l="1"/>
  <c r="C20" i="15"/>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<sst xmlns="http://schemas.openxmlformats.org/spreadsheetml/2006/main" count="658" uniqueCount="293">
  <si>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</si>
  <si>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</si>
  <si>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</si>
  <si>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</si>
  <si>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</si>
  <si>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</si>
  <si>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</si>
  <si>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</si>
  <si>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</si>
  <si>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</si>
  <si>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</si>
  <si>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</si>
  <si>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</si>
  <si>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</si>
  <si>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</si>
  <si>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</si>
  <si>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</si>
  <si>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</si>
  <si>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</si>
  <si>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</si>
  <si>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</si>
  <si>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</si>
  <si>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</si>
  <si>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</si>
  <si>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</si>
  <si>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</si>
  <si>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</si>
  <si>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</si>
  <si>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</si>
  <si>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</si>
  <si>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</si>
  <si>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</si>
  <si>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</si>
  <si>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</si>
  <si>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</si>
  <si>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</si>
  <si>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</si>
  <si>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</si>
  <si>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</si>
  <si>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</si>
  <si>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</si>
  <si>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</si>
  <si>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</si>
  <si>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</si>
  <si>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</si>
  <si>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</si>
  <si>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</si>
  <si>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</si>
  <si>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</si>
  <si>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</si>
  <si>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</si>
  <si>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</si>
  <si>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</si>
  <si>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</si>
  <si>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</si>
  <si>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</si>
  <si>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</si>
  <si>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</si>
  <si>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</si>
  <si>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</si>
  <si>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</si>
  <si>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</si>
  <si>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</si>
  <si>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</si>
  <si>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</si>
  <si>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</si>
  <si>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</si>
  <si>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</si>
  <si>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</si>
  <si>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</si>
  <si>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</si>
  <si>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</si>
  <si>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</si>
  <si>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</si>
  <si>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</si>
  <si>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</si>
  <si>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</si>
  <si>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</si>
  <si>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</si>
  <si>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</si>
  <si>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</si>
  <si>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</si>
  <si>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</si>
  <si>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</si>
  <si>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</si>
  <si>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</si>
  <si>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</si>
  <si>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</si>
  <si>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</si>
  <si>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</si>
  <si>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</si>
  <si>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</si>
  <si>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</si>
  <si>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</si>
  <si>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</si>
  <si>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</si>
  <si>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</si>
  <si>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</si>
  <si>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</si>
  <si>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</si>
  <si>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</si>
  <si>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</si>
  <si>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</si>
  <si>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</si>
  <si>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</si>
  <si>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</si>
  <si>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</si>
  <si>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</si>
  <si>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</si>
  <si>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</si>
  <si>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</si>
  <si>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</si>
  <si>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</si>
  <si>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</si>
  <si>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</si>
  <si>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</si>
  <si>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</si>
  <si>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</si>
  <si>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</si>
  <si>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</si>
  <si>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</si>
  <si>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</si>
  <si>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</si>
  <si>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</si>
  <si>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</si>
  <si>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</si>
  <si>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</si>
  <si>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</si>
  <si>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</si>
  <si>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</si>
  <si>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</si>
  <si>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</si>
  <si>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</si>
  <si>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</si>
  <si>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</si>
  <si>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</si>
  <si>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</si>
  <si>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</si>
  <si>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</si>
  <si>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</si>
  <si>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</si>
  <si>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</si>
  <si>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</si>
  <si>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</si>
  <si>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</si>
  <si>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</si>
  <si>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</si>
  <si>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</si>
  <si>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</si>
  <si>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</si>
  <si>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</si>
  <si>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</si>
  <si>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</si>
  <si>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</si>
  <si>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</si>
  <si>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</si>
  <si>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</si>
  <si>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</si>
  <si>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</si>
  <si>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</si>
  <si>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</si>
  <si>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</si>
  <si>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</si>
  <si>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</si>
  <si>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</si>
  <si>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</si>
  <si>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</si>
  <si>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</si>
  <si>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</si>
  <si>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</si>
  <si>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</si>
  <si>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</si>
  <si>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</si>
  <si>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</si>
  <si>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</si>
  <si>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</si>
  <si>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</si>
  <si>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</si>
  <si>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</si>
  <si>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</si>
  <si>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</si>
  <si>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</si>
  <si>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</si>
  <si>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</si>
  <si>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</si>
  <si>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</si>
  <si>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</si>
  <si>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</si>
  <si>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</si>
  <si>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</si>
  <si>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</si>
  <si>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</si>
  <si>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</si>
  <si>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</si>
  <si>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</si>
  <si>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</si>
  <si>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</si>
  <si>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</si>
  <si>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</si>
  <si>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</si>
  <si>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</si>
  <si>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</si>
  <si>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</si>
  <si>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</si>
  <si>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</si>
  <si>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</si>
  <si>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</si>
  <si>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</si>
  <si>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</si>
  <si>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</si>
  <si>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</si>
  <si>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</si>
  <si>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</si>
  <si>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</si>
  <si>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</si>
  <si>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</si>
  <si>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</si>
  <si>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</si>
  <si>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</si>
  <si>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</si>
  <si>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</si>
  <si>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</si>
  <si>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</si>
  <si>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</si>
  <si>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</si>
  <si>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</si>
  <si>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</si>
  <si>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</si>
  <si>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</si>
  <si>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</si>
  <si>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</si>
  <si>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</si>
  <si>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</si>
  <si>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</si>
  <si>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</si>
  <si>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</si>
  <si>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</si>
  <si>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</si>
  <si>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</si>
  <si>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</si>
  <si>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</si>
  <si>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</si>
  <si>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</si>
  <si>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</si>
  <si>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</si>
  <si>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</si>
  <si>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</si>
  <si>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</si>
  <si>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</si>
  <si>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</si>
  <si>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</si>
  <si>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</si>
  <si>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</si>
  <si>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</si>
  <si>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</si>
  <si>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</si>
  <si>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</si>
  <si>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</si>
  <si>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</si>
  <si>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</si>
  <si>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</si>
  <si>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</si>
  <si>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</si>
  <si>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</si>
  <si>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</si>
  <si>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</si>
  <si>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</si>
  <si>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</si>
  <si>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</si>
  <si>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</si>
  <si>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</si>
  <si>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</si>
  <si>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</si>
  <si>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</si>
  <si>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</si>
  <si>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</si>
  <si>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</si>
  <si>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</si>
  <si>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</si>
  <si>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</si>
  <si>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</si>
  <si>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</si>
  <si>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</si>
  <si>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</si>
  <si>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</si>
  <si>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</si>
  <si>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</si>
  <si>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</si>
  <si>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 xml:space="preserve">Separering </t>
  </si>
  <si>
    <t>Strømpeforing</t>
  </si>
  <si>
    <t>Byggemodning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</si>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</sst>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PNXqbac+nSF7QebyGNRWIe/PmqXysK1tGUpCO7RMkAtZz7RpQrAMzmPYuz36LtyNdYpOWibpC0tpIZbBx9Vs3A==" saltValue="ZI1uLRl+/A7mqc6rlFFFV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272</v>
      </c>
      <c r="C10" s="9">
        <v>2253643</v>
      </c>
      <c r="D10" s="14" t="s">
        <v>3</v>
      </c>
      <c r="E10" s="1"/>
      <c r="F10" s="1"/>
    </row>
    <row r="11" spans="1:6" ht="15" customHeight="1" x14ac:dyDescent="0.25">
      <c r="A11" s="1"/>
      <c r="B11" s="80" t="s">
        <v>273</v>
      </c>
      <c r="C11" s="9">
        <v>109352</v>
      </c>
      <c r="D11" s="14" t="s">
        <v>3</v>
      </c>
      <c r="E11" s="1"/>
      <c r="F11" s="1"/>
    </row>
    <row r="12" spans="1:6" x14ac:dyDescent="0.25">
      <c r="A12" s="1"/>
      <c r="B12" s="80" t="s">
        <v>274</v>
      </c>
      <c r="C12" s="9">
        <v>203296</v>
      </c>
      <c r="D12" s="14" t="s">
        <v>3</v>
      </c>
      <c r="E12" s="1"/>
      <c r="F12" s="1"/>
    </row>
    <row r="13" spans="1:6" x14ac:dyDescent="0.25">
      <c r="A13" s="1"/>
      <c r="B13" s="80" t="s">
        <v>275</v>
      </c>
      <c r="C13" s="9">
        <v>119260.08</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2685551.08</v>
      </c>
      <c r="D20" s="13" t="s">
        <v>3</v>
      </c>
      <c r="E20" s="1"/>
      <c r="F20" s="1"/>
    </row>
    <row r="21" spans="1:6" x14ac:dyDescent="0.25">
      <c r="A21" s="1"/>
      <c r="B21" s="33" t="s">
        <v>227</v>
      </c>
      <c r="C21" s="12">
        <f>C20*(1+'Fane 15. Nøgletal'!C16)^2</f>
        <v>3137069.1307309312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69104</v>
      </c>
      <c r="D33" s="14" t="s">
        <v>3</v>
      </c>
      <c r="E33" s="1"/>
      <c r="F33" s="1"/>
    </row>
    <row r="34" spans="1:6" x14ac:dyDescent="0.25">
      <c r="A34" s="1"/>
      <c r="B34" s="80" t="s">
        <v>123</v>
      </c>
      <c r="C34" s="9">
        <v>69104</v>
      </c>
      <c r="D34" s="14" t="s">
        <v>3</v>
      </c>
      <c r="E34" s="1"/>
      <c r="F34" s="1"/>
    </row>
    <row r="35" spans="1:6" x14ac:dyDescent="0.25">
      <c r="A35" s="1"/>
      <c r="B35" s="80" t="s">
        <v>142</v>
      </c>
      <c r="C35" s="9">
        <v>69104</v>
      </c>
      <c r="D35" s="14" t="s">
        <v>3</v>
      </c>
      <c r="E35" s="1"/>
      <c r="F35" s="1"/>
    </row>
    <row r="36" spans="1:6" x14ac:dyDescent="0.25">
      <c r="A36" s="1"/>
      <c r="B36" s="34" t="s">
        <v>261</v>
      </c>
      <c r="C36" s="9">
        <v>69104</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DahE52rkOhmfMtFrK/7Dvi/c8KQS57kaNh8cVwcjNLkiTpbGu7uIwhW3/Cdiajz5LWLhm3Px11exxrt/cN1H8g==" saltValue="EEe5t+5zxkSu8sgPMv5LI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4C86-C889-470E-8770-54A494A35DAE}">
  <sheetPr codeName="Ark12"/>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276</v>
      </c>
      <c r="C9" s="120"/>
      <c r="D9" s="121"/>
      <c r="E9" s="9">
        <v>-335334</v>
      </c>
      <c r="F9" s="14" t="s">
        <v>3</v>
      </c>
      <c r="G9" s="1"/>
    </row>
    <row r="10" spans="1:7" ht="15" customHeight="1" x14ac:dyDescent="0.25">
      <c r="A10" s="1"/>
      <c r="B10" s="119" t="s">
        <v>143</v>
      </c>
      <c r="C10" s="120"/>
      <c r="D10" s="121"/>
      <c r="E10" s="9">
        <v>4267537</v>
      </c>
      <c r="F10" s="14" t="s">
        <v>3</v>
      </c>
      <c r="G10" s="1"/>
    </row>
    <row r="11" spans="1:7" ht="15" customHeight="1" x14ac:dyDescent="0.25">
      <c r="A11" s="1"/>
      <c r="B11" s="119" t="s">
        <v>277</v>
      </c>
      <c r="C11" s="120"/>
      <c r="D11" s="121"/>
      <c r="E11" s="9">
        <v>1104465</v>
      </c>
      <c r="F11" s="14" t="s">
        <v>3</v>
      </c>
      <c r="G11" s="1"/>
    </row>
    <row r="12" spans="1:7" x14ac:dyDescent="0.25">
      <c r="A12" s="1"/>
      <c r="B12" s="33"/>
      <c r="C12" s="28"/>
      <c r="D12" s="28"/>
      <c r="E12" s="28"/>
      <c r="F12" s="19"/>
      <c r="G12" s="1"/>
    </row>
    <row r="13" spans="1:7" ht="42" customHeight="1" x14ac:dyDescent="0.25">
      <c r="A13" s="1"/>
      <c r="B13" s="113" t="s">
        <v>278</v>
      </c>
      <c r="C13" s="114"/>
      <c r="D13" s="114"/>
      <c r="E13" s="114"/>
      <c r="F13" s="115"/>
      <c r="G13" s="1"/>
    </row>
    <row r="14" spans="1:7" ht="15" customHeight="1" x14ac:dyDescent="0.25">
      <c r="A14" s="1"/>
      <c r="B14" s="1"/>
      <c r="C14" s="1"/>
      <c r="D14" s="1"/>
      <c r="E14" s="1"/>
      <c r="F14" s="1"/>
      <c r="G14" s="1"/>
    </row>
    <row r="15" spans="1:7" x14ac:dyDescent="0.25">
      <c r="A15" s="1"/>
      <c r="B15" s="74" t="s">
        <v>279</v>
      </c>
      <c r="C15" s="75"/>
      <c r="D15" s="75"/>
      <c r="E15" s="75"/>
      <c r="F15" s="76"/>
      <c r="G15" s="1"/>
    </row>
    <row r="16" spans="1:7" x14ac:dyDescent="0.25">
      <c r="A16" s="1"/>
      <c r="B16" s="77" t="s">
        <v>280</v>
      </c>
      <c r="C16" s="78"/>
      <c r="D16" s="79"/>
      <c r="E16" s="9">
        <f>IF(E11&lt;0,E11,0)</f>
        <v>0</v>
      </c>
      <c r="F16" s="14" t="s">
        <v>3</v>
      </c>
      <c r="G16" s="1"/>
    </row>
    <row r="17" spans="1:7" x14ac:dyDescent="0.25">
      <c r="A17" s="1"/>
      <c r="B17" s="77" t="s">
        <v>281</v>
      </c>
      <c r="C17" s="78"/>
      <c r="D17" s="79"/>
      <c r="E17" s="9">
        <f>IF(SUM(E10)&gt;0,SUM(E10),0)</f>
        <v>4267537</v>
      </c>
      <c r="F17" s="14" t="s">
        <v>3</v>
      </c>
      <c r="G17" s="1"/>
    </row>
    <row r="18" spans="1:7" x14ac:dyDescent="0.25">
      <c r="A18" s="1"/>
      <c r="B18" s="81" t="s">
        <v>282</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283</v>
      </c>
      <c r="C21" s="75"/>
      <c r="D21" s="75"/>
      <c r="E21" s="75"/>
      <c r="F21" s="76"/>
      <c r="G21" s="1"/>
    </row>
    <row r="22" spans="1:7" x14ac:dyDescent="0.25">
      <c r="A22" s="1"/>
      <c r="B22" s="77" t="s">
        <v>284</v>
      </c>
      <c r="C22" s="78"/>
      <c r="D22" s="79"/>
      <c r="E22" s="9">
        <v>103613875</v>
      </c>
      <c r="F22" s="14" t="s">
        <v>3</v>
      </c>
      <c r="G22" s="1"/>
    </row>
    <row r="23" spans="1:7" x14ac:dyDescent="0.25">
      <c r="A23" s="1"/>
      <c r="B23" s="77" t="s">
        <v>285</v>
      </c>
      <c r="C23" s="78"/>
      <c r="D23" s="79"/>
      <c r="E23" s="9">
        <v>92996928</v>
      </c>
      <c r="F23" s="14" t="s">
        <v>3</v>
      </c>
      <c r="G23" s="1"/>
    </row>
    <row r="24" spans="1:7" x14ac:dyDescent="0.25">
      <c r="A24" s="1"/>
      <c r="B24" s="77" t="s">
        <v>30</v>
      </c>
      <c r="C24" s="78"/>
      <c r="D24" s="79"/>
      <c r="E24" s="9">
        <v>0</v>
      </c>
      <c r="F24" s="14" t="s">
        <v>3</v>
      </c>
      <c r="G24" s="1"/>
    </row>
    <row r="25" spans="1:7" x14ac:dyDescent="0.25">
      <c r="A25" s="1"/>
      <c r="B25" s="81" t="s">
        <v>286</v>
      </c>
      <c r="C25" s="82"/>
      <c r="D25" s="83"/>
      <c r="E25" s="62">
        <f>E22-E23-E24</f>
        <v>10616947</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287</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0</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0</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O7RptaJgzEGNWV0dnvDCikH3lrow4a6KrjZaeGjb1mgQpnWNPB0Wbs18uJRICRH/ym8hc0hXqzhDPudQVs99/Q==" saltValue="rXMCJAsj2R+/1PzcV7tmiQ=="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ToVjf/ttpbDp+8De5UOuKhPH3xGZK2/odEw0FdVI2ENOxKFmMzIgPkywbKnTXODt0PLpQqCMzIqDcEPoUZHbdA==" saltValue="dQXqkfzFaFQvqOdfFYfCj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g0TKgWteUg2hyuoOq5xHctNk0yhlCQda+HUAamg/gb4gHr84c8Wdau1AqZMiqT9nP4wNrIovQ5UWbnZnpKQgw==" saltValue="ASfDzTOppRcJXQyWgUt3s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phhy3nDcoq13j+xoFr8VVe6XP8MY/5hIuFSvWiuSwZWupPiyTLBrhjlpdYsFKDvPpI6Ez8Qf6o6Q6w0WBHNgg==" saltValue="d6CUty6+04RcRS303sHnB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0</v>
      </c>
      <c r="D11" s="14" t="s">
        <v>3</v>
      </c>
      <c r="E11" s="9">
        <v>982893</v>
      </c>
      <c r="F11" s="14" t="s">
        <v>3</v>
      </c>
      <c r="G11" s="1"/>
    </row>
    <row r="12" spans="1:7" x14ac:dyDescent="0.25">
      <c r="A12" s="1"/>
      <c r="B12" s="24" t="s">
        <v>289</v>
      </c>
      <c r="C12" s="21">
        <v>0</v>
      </c>
      <c r="D12" s="14" t="s">
        <v>3</v>
      </c>
      <c r="E12" s="9">
        <v>1498832</v>
      </c>
      <c r="F12" s="14" t="s">
        <v>3</v>
      </c>
      <c r="G12" s="1"/>
    </row>
    <row r="13" spans="1:7" x14ac:dyDescent="0.25">
      <c r="A13" s="1"/>
      <c r="B13" s="24" t="s">
        <v>290</v>
      </c>
      <c r="C13" s="21">
        <v>3756978.21</v>
      </c>
      <c r="D13" s="14" t="s">
        <v>3</v>
      </c>
      <c r="E13" s="9">
        <v>447530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3756978.21</v>
      </c>
      <c r="D19" s="13" t="s">
        <v>3</v>
      </c>
      <c r="E19" s="12">
        <f>SUM(E10:E18)</f>
        <v>2929255</v>
      </c>
      <c r="F19" s="13" t="s">
        <v>3</v>
      </c>
      <c r="G19" s="1"/>
    </row>
    <row r="20" spans="1:7" x14ac:dyDescent="0.25">
      <c r="A20" s="1"/>
      <c r="B20" s="33" t="s">
        <v>233</v>
      </c>
      <c r="C20" s="12">
        <f>C19*(1+'Fane 15. Nøgletal'!C16)</f>
        <v>4060542.0493680001</v>
      </c>
      <c r="D20" s="13" t="s">
        <v>3</v>
      </c>
      <c r="E20" s="12">
        <f>E19*(1+'Fane 15. Nøgletal'!C16)</f>
        <v>3165938.804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JBY7XebIVzdi+0dBrpEMSJbg5kxvNAsaoVV6MMWuxulerJ3qJSpwXKJP/w+3hP5l6Q0GCK1k9OzJHN8ctdx2Q==" saltValue="Rt0rOLLILDO359jYFzyMI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c r="C10" s="21"/>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w+WP+n6obkgEdys2GmGI2uvupIog7kHYn0FCCeJMKF1jCt3BjU1PRoyewNnzHgXYdwywHOyClQRiGa+zFLPSQ==" saltValue="DyvchcM81AaSW05ckzmh0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lnxr/R0DmFwOU0zINBTov3CTq5W7zaYoJm8Kn8ujNpCIjuHDGG0xAbHRPA/SBGTVI0j1d5MWRRvsOphznbGhA==" saltValue="YOYFo/+Xub0MzmxQpCWdY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9Ugsv/k5HdA9ggK6Hv1bnWr9K/auvMY3nKLgLjBRemkuZh8d49acj31zcLSR4DBpa8OZzcC7UFzB1FPi5uW5rQ==" saltValue="zjxQ6jHhm0t8qEPLo/QaV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yHvWfji3BXUDKeZKWShrXrKKuSFD9qYESMvxt/sNY+4V7AlC7psE7j6+imwTXyR8/dmWutVXyt+CF/+lF2dmQQ==" saltValue="2bUFYEQE4rFH7ifw57Gbf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101079237.36662747</v>
      </c>
      <c r="D9" s="8" t="s">
        <v>3</v>
      </c>
      <c r="E9" s="1"/>
    </row>
    <row r="10" spans="1:5" ht="17.25" customHeight="1" x14ac:dyDescent="0.25">
      <c r="A10" s="1"/>
      <c r="B10" s="87" t="s">
        <v>36</v>
      </c>
      <c r="C10" s="7">
        <f>'Fane 11.1. Varige tillæg'!C20</f>
        <v>4060542.0493680001</v>
      </c>
      <c r="D10" s="8" t="s">
        <v>3</v>
      </c>
      <c r="E10" s="1"/>
    </row>
    <row r="11" spans="1:5" ht="17.25" customHeight="1" x14ac:dyDescent="0.25">
      <c r="A11" s="1"/>
      <c r="B11" s="87" t="s">
        <v>37</v>
      </c>
      <c r="C11" s="9">
        <f>'Fane 11.1. Varige tillæg'!E20</f>
        <v>3165938.804</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8751102.0321756341</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-851751.98276591371</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116205068.26940519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3206173.1307309312</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291</v>
      </c>
      <c r="C37" s="28"/>
      <c r="D37" s="19"/>
      <c r="E37" s="1"/>
    </row>
    <row r="38" spans="1:5" x14ac:dyDescent="0.25">
      <c r="A38" s="1"/>
      <c r="B38" s="70" t="s">
        <v>292</v>
      </c>
      <c r="C38" s="10">
        <v>3388979.1808750574</v>
      </c>
      <c r="D38" s="11" t="s">
        <v>3</v>
      </c>
      <c r="E38" s="1"/>
    </row>
    <row r="39" spans="1:5" x14ac:dyDescent="0.25">
      <c r="A39" s="1"/>
      <c r="B39" s="33" t="s">
        <v>108</v>
      </c>
      <c r="C39" s="49">
        <f>SUM(C34,C32,C24,C30,C22,C20,C36,C38)</f>
        <v>122800220.58101118</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v+lNvncr2Ia5j0wtsqF99zJEVrSLIc3znSB1klyYaPA+kxPc+ETy6k7MjcTTc2+KqZxKqj54rsSHwGI/IliH9Q==" saltValue="qB0ZhSRXJdMEDSxUilEsB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dAkj90E23oAPR/H4gBnXNdnYHYAt6Hdk3MTLXuwcLF+5FCyynyEcvDmyC5CDTOX2Cfk02gKKsB+BvQLqU6z7bw==" saltValue="DNF0zCfMvigsOp78qh4p3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116205068.26940519</v>
      </c>
      <c r="D9" s="8" t="s">
        <v>3</v>
      </c>
      <c r="E9" s="1"/>
    </row>
    <row r="10" spans="1:5" ht="15" customHeight="1" x14ac:dyDescent="0.25">
      <c r="A10" s="1"/>
      <c r="B10" s="26" t="s">
        <v>19</v>
      </c>
      <c r="C10" s="7">
        <f>SUM(C9:C9)*'Fane 15. Nøgletal'!C16</f>
        <v>9389369.5161679387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-902162.07211393153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124692275.71345919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3459648.3164939904</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128151924.02995318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0ZQWX3DhI2PLtOHRwYyVxIlx4lVn5ip6jC+g4UCvvLNxOwpRuebuwQOYIm9tfdwWgU62+PyfWKfkSIifmi4Ew==" saltValue="JO6pCgkQNcHExj3IURuJw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124692275.71345919</v>
      </c>
      <c r="D9" s="8" t="s">
        <v>3</v>
      </c>
      <c r="E9" s="1"/>
    </row>
    <row r="10" spans="1:5" ht="15" customHeight="1" x14ac:dyDescent="0.25">
      <c r="A10" s="1"/>
      <c r="B10" s="26" t="s">
        <v>19</v>
      </c>
      <c r="C10" s="7">
        <f>SUM(C9:C9)*'Fane 15. Nøgletal'!C16</f>
        <v>10075135.877647502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-955555.63218992238</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133811855.95891675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3733604.2972667045</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137545460.25618345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G2ZGr56wGLZLRCH1fmgjzsnDMRrKiiRcczMyRL9ssu2QdFmi7fsSvYkquxKVazMsvdoYI5gccCZzxGoSJXVUg==" saltValue="MuYbewwkQszcEox88BlEV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133811855.95891675</v>
      </c>
      <c r="D9" s="8" t="s">
        <v>3</v>
      </c>
      <c r="E9" s="1"/>
      <c r="F9" s="1"/>
    </row>
    <row r="10" spans="1:6" ht="15" customHeight="1" x14ac:dyDescent="0.25">
      <c r="A10" s="1"/>
      <c r="B10" s="26" t="s">
        <v>19</v>
      </c>
      <c r="C10" s="7">
        <f>SUM(C9:C9)*'Fane 15. Nøgletal'!C16</f>
        <v>10811997.961480474</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-1012109.2367254507</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143611744.68367177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4029695.9212858542</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147641440.60495764</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MECxjPZE3O4RdYACKHnfxZrjcziyeVTNJ4mXH/u168r5/Ob2sXQJdv3oBcGo2VdvJYkZSZ5HpjQ1jOR1ASPQw==" saltValue="32Fzpv1W6nSApYx8un3U6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101784793.02951916</v>
      </c>
      <c r="D9" s="8" t="s">
        <v>3</v>
      </c>
      <c r="E9" s="1"/>
    </row>
    <row r="10" spans="1:5" x14ac:dyDescent="0.25">
      <c r="A10" s="1"/>
      <c r="B10" s="87" t="s">
        <v>36</v>
      </c>
      <c r="C10" s="7">
        <v>194286.84480000002</v>
      </c>
      <c r="D10" s="8" t="s">
        <v>3</v>
      </c>
      <c r="E10" s="1"/>
    </row>
    <row r="11" spans="1:5" x14ac:dyDescent="0.25">
      <c r="A11" s="1"/>
      <c r="B11" s="87" t="s">
        <v>37</v>
      </c>
      <c r="C11" s="9">
        <v>1132869.7656</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383136.59232765326</v>
      </c>
      <c r="D16" s="8" t="s">
        <v>3</v>
      </c>
      <c r="E16" s="1"/>
    </row>
    <row r="17" spans="1:5" x14ac:dyDescent="0.25">
      <c r="A17" s="1"/>
      <c r="B17" s="87" t="s">
        <v>10</v>
      </c>
      <c r="C17" s="41">
        <v>-692337.50637315284</v>
      </c>
      <c r="D17" s="8" t="s">
        <v>3</v>
      </c>
      <c r="E17" s="1"/>
    </row>
    <row r="18" spans="1:5" x14ac:dyDescent="0.25">
      <c r="A18" s="1"/>
      <c r="B18" s="87" t="s">
        <v>23</v>
      </c>
      <c r="C18" s="41">
        <v>-721290.451731498</v>
      </c>
      <c r="D18" s="8" t="s">
        <v>3</v>
      </c>
      <c r="E18" s="1"/>
    </row>
    <row r="19" spans="1:5" x14ac:dyDescent="0.25">
      <c r="A19" s="1"/>
      <c r="B19" s="87" t="s">
        <v>24</v>
      </c>
      <c r="C19" s="41">
        <v>-1002220.9075146692</v>
      </c>
      <c r="D19" s="8" t="s">
        <v>3</v>
      </c>
      <c r="E19" s="47"/>
    </row>
    <row r="20" spans="1:5" x14ac:dyDescent="0.25">
      <c r="A20" s="1"/>
      <c r="B20" s="81" t="s">
        <v>21</v>
      </c>
      <c r="C20" s="10">
        <v>101079237.36662747</v>
      </c>
      <c r="D20" s="11" t="s">
        <v>3</v>
      </c>
      <c r="E20" s="1"/>
    </row>
    <row r="21" spans="1:5" x14ac:dyDescent="0.25">
      <c r="A21" s="1"/>
      <c r="B21" s="33" t="s">
        <v>12</v>
      </c>
      <c r="C21" s="28"/>
      <c r="D21" s="19"/>
      <c r="E21" s="1"/>
    </row>
    <row r="22" spans="1:5" x14ac:dyDescent="0.25">
      <c r="A22" s="1"/>
      <c r="B22" s="31" t="s">
        <v>12</v>
      </c>
      <c r="C22" s="10">
        <v>1984981.7686369249</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2156551.6864435202</v>
      </c>
      <c r="D26" s="8" t="s">
        <v>3</v>
      </c>
      <c r="E26" s="1"/>
    </row>
    <row r="27" spans="1:5" x14ac:dyDescent="0.25">
      <c r="A27" s="1"/>
      <c r="B27" s="87" t="s">
        <v>70</v>
      </c>
      <c r="C27" s="69">
        <v>0</v>
      </c>
      <c r="D27" s="8" t="s">
        <v>3</v>
      </c>
      <c r="E27" s="1"/>
    </row>
    <row r="28" spans="1:5" x14ac:dyDescent="0.25">
      <c r="A28" s="1"/>
      <c r="B28" s="87" t="s">
        <v>161</v>
      </c>
      <c r="C28" s="69">
        <v>-57557.434742795245</v>
      </c>
      <c r="D28" s="8" t="s">
        <v>3</v>
      </c>
      <c r="E28" s="1"/>
    </row>
    <row r="29" spans="1:5" x14ac:dyDescent="0.25">
      <c r="A29" s="1"/>
      <c r="B29" s="87" t="s">
        <v>162</v>
      </c>
      <c r="C29" s="69">
        <v>0</v>
      </c>
      <c r="D29" s="8" t="s">
        <v>3</v>
      </c>
      <c r="E29" s="1"/>
    </row>
    <row r="30" spans="1:5" x14ac:dyDescent="0.25">
      <c r="A30" s="1"/>
      <c r="B30" s="70" t="s">
        <v>75</v>
      </c>
      <c r="C30" s="10">
        <v>2098994.2517007249</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105163213.38696513</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olt8VemGuGYo5c2aiK4lQJoSJjILq4AdOA8rTWYaFRuLfo6voFlooY9qtbxp6IMkId7OVwSeLRDEuDYxpJHZg==" saltValue="OZEdplxkqW/Z5APrIO8bR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6" t="s">
        <v>46</v>
      </c>
      <c r="C4" s="117"/>
      <c r="D4" s="117"/>
      <c r="E4" s="117"/>
      <c r="F4" s="117"/>
      <c r="G4" s="117"/>
      <c r="H4" s="118"/>
      <c r="I4" s="1"/>
    </row>
    <row r="5" spans="1:9" x14ac:dyDescent="0.25">
      <c r="A5" s="1"/>
      <c r="B5" s="119" t="s">
        <v>38</v>
      </c>
      <c r="C5" s="120"/>
      <c r="D5" s="120"/>
      <c r="E5" s="120"/>
      <c r="F5" s="121"/>
      <c r="G5" s="63">
        <v>37361020</v>
      </c>
      <c r="H5" s="14" t="s">
        <v>3</v>
      </c>
      <c r="I5" s="1"/>
    </row>
    <row r="6" spans="1:9" x14ac:dyDescent="0.25">
      <c r="A6" s="1"/>
      <c r="B6" s="113" t="s">
        <v>102</v>
      </c>
      <c r="C6" s="114"/>
      <c r="D6" s="114"/>
      <c r="E6" s="114"/>
      <c r="F6" s="115"/>
      <c r="G6" s="66">
        <v>0</v>
      </c>
      <c r="H6" s="14" t="s">
        <v>3</v>
      </c>
      <c r="I6" s="1"/>
    </row>
    <row r="7" spans="1:9" x14ac:dyDescent="0.25">
      <c r="A7" s="1"/>
      <c r="B7" s="119" t="s">
        <v>39</v>
      </c>
      <c r="C7" s="120"/>
      <c r="D7" s="120"/>
      <c r="E7" s="120"/>
      <c r="F7" s="121"/>
      <c r="G7" s="23">
        <f>SUM(G5:G6)*'Fane 15. Nøgletal'!C33</f>
        <v>747220.4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37254541.093000002</v>
      </c>
      <c r="H11" s="14" t="s">
        <v>3</v>
      </c>
      <c r="I11" s="1"/>
    </row>
    <row r="12" spans="1:9" ht="15" customHeight="1" x14ac:dyDescent="0.25">
      <c r="A12" s="1"/>
      <c r="B12" s="119" t="s">
        <v>103</v>
      </c>
      <c r="C12" s="120"/>
      <c r="D12" s="120"/>
      <c r="E12" s="120"/>
      <c r="F12" s="121"/>
      <c r="G12" s="66">
        <v>0.28111131502315406</v>
      </c>
      <c r="H12" s="14" t="s">
        <v>3</v>
      </c>
      <c r="I12" s="1"/>
    </row>
    <row r="13" spans="1:9" x14ac:dyDescent="0.25">
      <c r="A13" s="1"/>
      <c r="B13" s="113" t="s">
        <v>100</v>
      </c>
      <c r="C13" s="114"/>
      <c r="D13" s="114"/>
      <c r="E13" s="114"/>
      <c r="F13" s="115"/>
      <c r="G13" s="66">
        <v>0</v>
      </c>
      <c r="H13" s="14" t="s">
        <v>3</v>
      </c>
      <c r="I13" s="1"/>
    </row>
    <row r="14" spans="1:9" x14ac:dyDescent="0.25">
      <c r="A14" s="1"/>
      <c r="B14" s="122" t="s">
        <v>244</v>
      </c>
      <c r="C14" s="123"/>
      <c r="D14" s="123"/>
      <c r="E14" s="123"/>
      <c r="F14" s="124"/>
      <c r="G14" s="66">
        <v>0</v>
      </c>
      <c r="H14" s="14" t="s">
        <v>3</v>
      </c>
      <c r="I14" s="1"/>
    </row>
    <row r="15" spans="1:9" x14ac:dyDescent="0.25">
      <c r="A15" s="1"/>
      <c r="B15" s="119" t="s">
        <v>41</v>
      </c>
      <c r="C15" s="120"/>
      <c r="D15" s="120"/>
      <c r="E15" s="120"/>
      <c r="F15" s="121"/>
      <c r="G15" s="23">
        <f>SUM(G11:G14)*'Fane 15. Nøgletal'!C33</f>
        <v>745090.8274822263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37148365.931195103</v>
      </c>
      <c r="H19" s="14" t="s">
        <v>3</v>
      </c>
      <c r="I19" s="1"/>
    </row>
    <row r="20" spans="1:9" x14ac:dyDescent="0.25">
      <c r="A20" s="1"/>
      <c r="B20" s="122" t="s">
        <v>245</v>
      </c>
      <c r="C20" s="123"/>
      <c r="D20" s="123"/>
      <c r="E20" s="123"/>
      <c r="F20" s="124"/>
      <c r="G20" s="66">
        <v>0</v>
      </c>
      <c r="H20" s="14" t="s">
        <v>3</v>
      </c>
      <c r="I20" s="1"/>
    </row>
    <row r="21" spans="1:9" x14ac:dyDescent="0.25">
      <c r="A21" s="1"/>
      <c r="B21" s="119" t="s">
        <v>43</v>
      </c>
      <c r="C21" s="120"/>
      <c r="D21" s="120"/>
      <c r="E21" s="120"/>
      <c r="F21" s="121"/>
      <c r="G21" s="23">
        <f>SUM(G19:G20)*'Fane 15. Nøgletal'!C33</f>
        <v>742967.31862390204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37122584.965238854</v>
      </c>
      <c r="H25" s="14" t="s">
        <v>3</v>
      </c>
      <c r="I25" s="1"/>
    </row>
    <row r="26" spans="1:9" x14ac:dyDescent="0.25">
      <c r="A26" s="1"/>
      <c r="B26" s="122" t="s">
        <v>246</v>
      </c>
      <c r="C26" s="123"/>
      <c r="D26" s="123"/>
      <c r="E26" s="123"/>
      <c r="F26" s="124"/>
      <c r="G26" s="66">
        <v>0</v>
      </c>
      <c r="H26" s="14" t="s">
        <v>3</v>
      </c>
      <c r="I26" s="1"/>
    </row>
    <row r="27" spans="1:9" x14ac:dyDescent="0.25">
      <c r="A27" s="1"/>
      <c r="B27" s="119" t="s">
        <v>45</v>
      </c>
      <c r="C27" s="120"/>
      <c r="D27" s="120"/>
      <c r="E27" s="120"/>
      <c r="F27" s="121"/>
      <c r="G27" s="23">
        <f>(G25+G26)*'Fane 15. Nøgletal'!C33</f>
        <v>742451.69930477708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37096821.891272984</v>
      </c>
      <c r="H31" s="14" t="s">
        <v>3</v>
      </c>
      <c r="I31" s="1"/>
    </row>
    <row r="32" spans="1:9" x14ac:dyDescent="0.25">
      <c r="A32" s="1"/>
      <c r="B32" s="119" t="s">
        <v>243</v>
      </c>
      <c r="C32" s="120"/>
      <c r="D32" s="120"/>
      <c r="E32" s="120"/>
      <c r="F32" s="121"/>
      <c r="G32" s="63">
        <v>0</v>
      </c>
      <c r="H32" s="14" t="s">
        <v>3</v>
      </c>
      <c r="I32" s="1"/>
    </row>
    <row r="33" spans="1:9" x14ac:dyDescent="0.25">
      <c r="A33" s="1"/>
      <c r="B33" s="119" t="s">
        <v>54</v>
      </c>
      <c r="C33" s="120"/>
      <c r="D33" s="120"/>
      <c r="E33" s="120"/>
      <c r="F33" s="121"/>
      <c r="G33" s="23">
        <f>(G31+G32)*'Fane 15. Nøgletal'!C33</f>
        <v>741936.43782545975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36474856.575443909</v>
      </c>
      <c r="H37" s="14" t="s">
        <v>3</v>
      </c>
      <c r="I37" s="1"/>
    </row>
    <row r="38" spans="1:9" x14ac:dyDescent="0.25">
      <c r="A38" s="1"/>
      <c r="B38" s="119" t="s">
        <v>242</v>
      </c>
      <c r="C38" s="120"/>
      <c r="D38" s="120"/>
      <c r="E38" s="120"/>
      <c r="F38" s="121"/>
      <c r="G38" s="63">
        <v>0</v>
      </c>
      <c r="H38" s="14" t="s">
        <v>3</v>
      </c>
      <c r="I38" s="1"/>
    </row>
    <row r="39" spans="1:9" x14ac:dyDescent="0.25">
      <c r="A39" s="1"/>
      <c r="B39" s="119" t="s">
        <v>128</v>
      </c>
      <c r="C39" s="120"/>
      <c r="D39" s="120"/>
      <c r="E39" s="120"/>
      <c r="F39" s="121"/>
      <c r="G39" s="23">
        <f>(G37+G38)*'Fane 15. Nøgletal'!C33</f>
        <v>729497.1315088782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35863319.130100019</v>
      </c>
      <c r="H43" s="14" t="s">
        <v>3</v>
      </c>
      <c r="I43" s="1"/>
    </row>
    <row r="44" spans="1:9" x14ac:dyDescent="0.25">
      <c r="A44" s="1"/>
      <c r="B44" s="125" t="s">
        <v>157</v>
      </c>
      <c r="C44" s="126"/>
      <c r="D44" s="126"/>
      <c r="E44" s="126"/>
      <c r="F44" s="127"/>
      <c r="G44" s="45">
        <v>201203.45647488005</v>
      </c>
      <c r="H44" s="14" t="s">
        <v>3</v>
      </c>
      <c r="I44" s="1"/>
    </row>
    <row r="45" spans="1:9" x14ac:dyDescent="0.25">
      <c r="A45" s="1"/>
      <c r="B45" s="119" t="s">
        <v>129</v>
      </c>
      <c r="C45" s="120"/>
      <c r="D45" s="120"/>
      <c r="E45" s="120"/>
      <c r="F45" s="121"/>
      <c r="G45" s="23">
        <f>SUM(G43:G44)*'Fane 15. Nøgletal'!C33</f>
        <v>721290.451731498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38198965.291338749</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4388633.8469569348</v>
      </c>
      <c r="H53" s="14" t="s">
        <v>3</v>
      </c>
      <c r="I53" s="1"/>
    </row>
    <row r="54" spans="1:9" x14ac:dyDescent="0.25">
      <c r="A54" s="1"/>
      <c r="B54" s="119" t="s">
        <v>210</v>
      </c>
      <c r="C54" s="120"/>
      <c r="D54" s="120"/>
      <c r="E54" s="120"/>
      <c r="F54" s="121"/>
      <c r="G54" s="23">
        <f>(G52)*'Fane 15. Nøgletal'!C33+(G53)*'Fane 15. Nøgletal'!C33</f>
        <v>851751.98276591371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45108103.605696574</v>
      </c>
      <c r="H58" s="14" t="s">
        <v>3</v>
      </c>
      <c r="I58" s="1"/>
    </row>
    <row r="59" spans="1:9" x14ac:dyDescent="0.25">
      <c r="A59" s="1"/>
      <c r="B59" s="77" t="s">
        <v>211</v>
      </c>
      <c r="C59" s="78"/>
      <c r="D59" s="78"/>
      <c r="E59" s="78"/>
      <c r="F59" s="79"/>
      <c r="G59" s="23">
        <f>(G58)*'Fane 15. Nøgletal'!C33</f>
        <v>902162.07211393153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47777781.609496117</v>
      </c>
      <c r="H63" s="14" t="s">
        <v>3</v>
      </c>
      <c r="I63" s="1"/>
    </row>
    <row r="64" spans="1:9" x14ac:dyDescent="0.25">
      <c r="A64" s="1"/>
      <c r="B64" s="77" t="s">
        <v>214</v>
      </c>
      <c r="C64" s="78"/>
      <c r="D64" s="78"/>
      <c r="E64" s="78"/>
      <c r="F64" s="79"/>
      <c r="G64" s="23">
        <f>(G63)*'Fane 15. Nøgletal'!C33</f>
        <v>955555.63218992238</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50605461.836272538</v>
      </c>
      <c r="H68" s="14" t="s">
        <v>3</v>
      </c>
      <c r="I68" s="1"/>
    </row>
    <row r="69" spans="1:9" x14ac:dyDescent="0.25">
      <c r="A69" s="1"/>
      <c r="B69" s="77" t="s">
        <v>214</v>
      </c>
      <c r="C69" s="78"/>
      <c r="D69" s="78"/>
      <c r="E69" s="78"/>
      <c r="F69" s="79"/>
      <c r="G69" s="23">
        <f>(G68)*'Fane 15. Nøgletal'!C33</f>
        <v>1012109.2367254507</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bG2sza1gxWMrtoWdn0hZw34jrTxA1vmS6bOMcs4xRS+oZ2E15+FB7q8/7cmAYquV2+aD3fb0BmGcur7aI8FfA==" saltValue="de2wq/z3O9RgNDahmDguq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69455899</v>
      </c>
      <c r="H5" s="14" t="s">
        <v>3</v>
      </c>
      <c r="I5" s="1"/>
    </row>
    <row r="6" spans="1:9" x14ac:dyDescent="0.25">
      <c r="A6" s="1"/>
      <c r="B6" s="119" t="s">
        <v>51</v>
      </c>
      <c r="C6" s="120"/>
      <c r="D6" s="120"/>
      <c r="E6" s="120"/>
      <c r="F6" s="121"/>
      <c r="G6" s="23">
        <f>G5*'Fane 15. Nøgletal'!C21</f>
        <v>632048.68090000004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70028267.699684247</v>
      </c>
      <c r="H10" s="14" t="s">
        <v>3</v>
      </c>
      <c r="I10" s="1"/>
    </row>
    <row r="11" spans="1:9" x14ac:dyDescent="0.25">
      <c r="A11" s="1"/>
      <c r="B11" s="119" t="s">
        <v>104</v>
      </c>
      <c r="C11" s="120"/>
      <c r="D11" s="120"/>
      <c r="E11" s="120"/>
      <c r="F11" s="121"/>
      <c r="G11" s="63">
        <v>609609.18380336568</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1250290.4208377309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70601869.225746259</v>
      </c>
      <c r="H17" s="14" t="s">
        <v>3</v>
      </c>
      <c r="I17" s="1"/>
    </row>
    <row r="18" spans="1:9" x14ac:dyDescent="0.25">
      <c r="A18" s="1"/>
      <c r="B18" s="122" t="s">
        <v>248</v>
      </c>
      <c r="C18" s="123"/>
      <c r="D18" s="123"/>
      <c r="E18" s="123"/>
      <c r="F18" s="124"/>
      <c r="G18" s="63">
        <v>171640.63180462996</v>
      </c>
      <c r="H18" s="14" t="s">
        <v>3</v>
      </c>
      <c r="I18" s="1"/>
    </row>
    <row r="19" spans="1:9" x14ac:dyDescent="0.25">
      <c r="A19" s="1"/>
      <c r="B19" s="119" t="s">
        <v>61</v>
      </c>
      <c r="C19" s="120"/>
      <c r="D19" s="120"/>
      <c r="E19" s="120"/>
      <c r="F19" s="121"/>
      <c r="G19" s="23">
        <f>G17*'Fane 15. Nøgletal'!C22+G18*'Fane 15. Nøgletal'!C23</f>
        <v>1251146.3587924091</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70891954.059684023</v>
      </c>
      <c r="H23" s="14" t="s">
        <v>3</v>
      </c>
      <c r="I23" s="1"/>
    </row>
    <row r="24" spans="1:9" x14ac:dyDescent="0.25">
      <c r="A24" s="1"/>
      <c r="B24" s="122" t="s">
        <v>249</v>
      </c>
      <c r="C24" s="123"/>
      <c r="D24" s="123"/>
      <c r="E24" s="123"/>
      <c r="F24" s="124"/>
      <c r="G24" s="63">
        <v>44305.370514900002</v>
      </c>
      <c r="H24" s="14" t="s">
        <v>3</v>
      </c>
      <c r="I24" s="1"/>
    </row>
    <row r="25" spans="1:9" x14ac:dyDescent="0.25">
      <c r="A25" s="1"/>
      <c r="B25" s="119" t="s">
        <v>64</v>
      </c>
      <c r="C25" s="120"/>
      <c r="D25" s="120"/>
      <c r="E25" s="120"/>
      <c r="F25" s="121"/>
      <c r="G25" s="23">
        <f>(G23+G24)*'Fane 15. Nøgletal'!C24</f>
        <v>2014589.7678176495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70279426.554730192</v>
      </c>
      <c r="H29" s="14" t="s">
        <v>3</v>
      </c>
      <c r="I29" s="1"/>
    </row>
    <row r="30" spans="1:9" x14ac:dyDescent="0.25">
      <c r="A30" s="1"/>
      <c r="B30" s="119" t="s">
        <v>250</v>
      </c>
      <c r="C30" s="120"/>
      <c r="D30" s="120"/>
      <c r="E30" s="120"/>
      <c r="F30" s="121"/>
      <c r="G30" s="63">
        <v>0</v>
      </c>
      <c r="H30" s="14" t="s">
        <v>3</v>
      </c>
      <c r="I30" s="1"/>
    </row>
    <row r="31" spans="1:9" x14ac:dyDescent="0.25">
      <c r="A31" s="1"/>
      <c r="B31" s="119" t="s">
        <v>67</v>
      </c>
      <c r="C31" s="120"/>
      <c r="D31" s="120"/>
      <c r="E31" s="120"/>
      <c r="F31" s="121"/>
      <c r="G31" s="23">
        <f>G29*'Fane 15. Nøgletal'!C24+G30*'Fane 15. Nøgletal'!C25</f>
        <v>1995935.7141543375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68508826.360349759</v>
      </c>
      <c r="H35" s="14" t="s">
        <v>3</v>
      </c>
      <c r="I35" s="1"/>
    </row>
    <row r="36" spans="1:9" x14ac:dyDescent="0.25">
      <c r="A36" s="1"/>
      <c r="B36" s="119" t="s">
        <v>251</v>
      </c>
      <c r="C36" s="120"/>
      <c r="D36" s="120"/>
      <c r="E36" s="120"/>
      <c r="F36" s="121"/>
      <c r="G36" s="63">
        <v>0</v>
      </c>
      <c r="H36" s="14" t="s">
        <v>3</v>
      </c>
      <c r="I36" s="1"/>
    </row>
    <row r="37" spans="1:9" x14ac:dyDescent="0.25">
      <c r="A37" s="1"/>
      <c r="B37" s="119" t="s">
        <v>131</v>
      </c>
      <c r="C37" s="120"/>
      <c r="D37" s="120"/>
      <c r="E37" s="120"/>
      <c r="F37" s="121"/>
      <c r="G37" s="23">
        <f>(G35+G36)*'Fane 15. Nøgletal'!C26</f>
        <v>1013930.6301331765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67717628.886126295</v>
      </c>
      <c r="H41" s="14" t="s">
        <v>3</v>
      </c>
      <c r="I41" s="1"/>
    </row>
    <row r="42" spans="1:9" x14ac:dyDescent="0.25">
      <c r="A42" s="1"/>
      <c r="B42" s="40" t="s">
        <v>156</v>
      </c>
      <c r="C42" s="78"/>
      <c r="D42" s="78"/>
      <c r="E42" s="78"/>
      <c r="F42" s="79"/>
      <c r="G42" s="23">
        <v>1173199.92925536</v>
      </c>
      <c r="H42" s="14" t="s">
        <v>3</v>
      </c>
      <c r="I42" s="1"/>
    </row>
    <row r="43" spans="1:9" x14ac:dyDescent="0.25">
      <c r="A43" s="1"/>
      <c r="B43" s="119" t="s">
        <v>132</v>
      </c>
      <c r="C43" s="120"/>
      <c r="D43" s="120"/>
      <c r="E43" s="120"/>
      <c r="F43" s="121"/>
      <c r="G43" s="23">
        <f>(G41)*'Fane 15. Nøgletal'!C26+G42*'Fane 15. Nøgletal'!C27</f>
        <v>1002220.9075146692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73374007.426822633</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3421746.6593632</v>
      </c>
      <c r="H54" s="14" t="s">
        <v>3</v>
      </c>
      <c r="I54" s="1"/>
    </row>
    <row r="55" spans="1:9" x14ac:dyDescent="0.25">
      <c r="A55" s="1"/>
      <c r="B55" s="119" t="s">
        <v>218</v>
      </c>
      <c r="C55" s="120"/>
      <c r="D55" s="120"/>
      <c r="E55" s="120"/>
      <c r="F55" s="121"/>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83000851.016349643</v>
      </c>
      <c r="H59" s="14" t="s">
        <v>3</v>
      </c>
      <c r="I59" s="1"/>
    </row>
    <row r="60" spans="1:9" x14ac:dyDescent="0.25">
      <c r="A60" s="1"/>
      <c r="B60" s="119" t="s">
        <v>220</v>
      </c>
      <c r="C60" s="120"/>
      <c r="D60" s="120"/>
      <c r="E60" s="120"/>
      <c r="F60" s="121"/>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89707319.778470695</v>
      </c>
      <c r="H64" s="14" t="s">
        <v>3</v>
      </c>
      <c r="I64" s="1"/>
    </row>
    <row r="65" spans="1:9" x14ac:dyDescent="0.25">
      <c r="A65" s="1"/>
      <c r="B65" s="119" t="s">
        <v>222</v>
      </c>
      <c r="C65" s="120"/>
      <c r="D65" s="120"/>
      <c r="E65" s="120"/>
      <c r="F65" s="121"/>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96955671.216571122</v>
      </c>
      <c r="H69" s="14" t="s">
        <v>3</v>
      </c>
      <c r="I69" s="1"/>
    </row>
    <row r="70" spans="1:9" x14ac:dyDescent="0.25">
      <c r="A70" s="1"/>
      <c r="B70" s="119" t="s">
        <v>222</v>
      </c>
      <c r="C70" s="120"/>
      <c r="D70" s="120"/>
      <c r="E70" s="120"/>
      <c r="F70" s="121"/>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2GLGrq64LXLFxEw07RaBR6nWQeUItSA+LAfS+Hlp9tVF059fxkkRQQ/3FpsuS3nG7dV3n5aiO4N5Ye2TALvUMg==" saltValue="uLDsX3SB3pxccr6hgfp3c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fxnyyZBCMYZ3jb6tU292wQf0ZX6JZl54KbNR9G8nOgRJIifnG6dMJ+g7/YwvlzL8DS8Nyz3dNfPXgR71MuQz8Q==" saltValue="0lvCd/pofGXyghx3qFLU0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2023-11-05T12:45:02Z</dcterms:modified>
</cp:coreProperties>
</file>