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Spildevand\ARWOS SPILDEVAND AS (S004)\ØR2025\"/>
    </mc:Choice>
  </mc:AlternateContent>
  <xr:revisionPtr revIDLastSave="0" documentId="13_ncr:1_{5D24D1BF-9CC4-47B9-B4B0-49C2674D60A5}"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25" i="39"/>
  <c r="E26" i="39" s="1"/>
  <c r="C25" i="39"/>
  <c r="C26"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<sst xmlns="http://schemas.openxmlformats.org/spreadsheetml/2006/main" count="588" uniqueCount="249">
  <si>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</si>
  <si>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</si>
  <si>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</si>
  <si>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</si>
  <si>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</si>
  <si>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</si>
  <si>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</si>
  <si>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</si>
  <si>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</si>
  <si>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</si>
  <si>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</si>
  <si>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</si>
  <si>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</si>
  <si>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</si>
  <si>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</si>
  <si>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</si>
  <si>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</si>
  <si>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</si>
  <si>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</si>
  <si>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</si>
  <si>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</si>
  <si>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</si>
  <si>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</si>
  <si>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</si>
  <si>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</si>
  <si>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</si>
  <si>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</si>
  <si>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</si>
  <si>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</si>
  <si>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</si>
  <si>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</si>
  <si>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</si>
  <si>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</si>
  <si>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</si>
  <si>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</si>
  <si>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</si>
  <si>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</si>
  <si>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</si>
  <si>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</si>
  <si>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</si>
  <si>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</si>
  <si>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</si>
  <si>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</si>
  <si>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</si>
  <si>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</si>
  <si>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</si>
  <si>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</si>
  <si>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</si>
  <si>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</si>
  <si>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</si>
  <si>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</si>
  <si>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</si>
  <si>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</si>
  <si>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</si>
  <si>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</si>
  <si>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</si>
  <si>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</si>
  <si>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</si>
  <si>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</si>
  <si>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</si>
  <si>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</si>
  <si>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</si>
  <si>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</si>
  <si>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</si>
  <si>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</si>
  <si>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</si>
  <si>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</si>
  <si>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</si>
  <si>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</si>
  <si>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</si>
  <si>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</si>
  <si>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</si>
  <si>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</si>
  <si>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</si>
  <si>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</si>
  <si>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</si>
  <si>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</si>
  <si>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</si>
  <si>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</si>
  <si>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</si>
  <si>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</si>
  <si>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</si>
  <si>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</si>
  <si>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</si>
  <si>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</si>
  <si>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</si>
  <si>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</si>
  <si>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</si>
  <si>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</si>
  <si>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</si>
  <si>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</si>
  <si>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</si>
  <si>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</si>
  <si>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</si>
  <si>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</si>
  <si>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</si>
  <si>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</si>
  <si>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</si>
  <si>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</si>
  <si>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</si>
  <si>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</si>
  <si>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</si>
  <si>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</si>
  <si>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</si>
  <si>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</si>
  <si>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</si>
  <si>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</si>
  <si>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</si>
  <si>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</si>
  <si>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</si>
  <si>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</si>
  <si>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</si>
  <si>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</si>
  <si>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</si>
  <si>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</si>
  <si>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</si>
  <si>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</si>
  <si>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</si>
  <si>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</si>
  <si>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</si>
  <si>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</si>
  <si>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</si>
  <si>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</si>
  <si>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</si>
  <si>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</si>
  <si>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</si>
  <si>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</si>
  <si>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</si>
  <si>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</si>
  <si>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</si>
  <si>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</si>
  <si>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</si>
  <si>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</si>
  <si>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</si>
  <si>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</si>
  <si>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</si>
  <si>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</si>
  <si>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</si>
  <si>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</si>
  <si>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</si>
  <si>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</si>
  <si>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</si>
  <si>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</si>
  <si>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</si>
  <si>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</si>
  <si>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</si>
  <si>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</si>
  <si>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</si>
  <si>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</si>
  <si>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</si>
  <si>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</si>
  <si>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</si>
  <si>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</si>
  <si>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</si>
  <si>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</si>
  <si>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</si>
  <si>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</si>
  <si>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</si>
  <si>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</si>
  <si>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</si>
  <si>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</si>
  <si>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</si>
  <si>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</si>
  <si>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</si>
  <si>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</si>
  <si>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</si>
  <si>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</si>
  <si>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</si>
  <si>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</si>
  <si>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</si>
  <si>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</si>
  <si>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</si>
  <si>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</si>
  <si>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</si>
  <si>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</si>
  <si>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</si>
  <si>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</si>
  <si>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</si>
  <si>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</si>
  <si>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</si>
  <si>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</si>
  <si>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</si>
  <si>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</si>
  <si>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</si>
  <si>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</si>
  <si>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</si>
  <si>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</si>
  <si>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</si>
  <si>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</si>
  <si>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</si>
  <si>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</si>
  <si>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</si>
  <si>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</si>
  <si>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</si>
  <si>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</si>
  <si>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</si>
  <si>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</si>
  <si>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</si>
  <si>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</si>
  <si>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</si>
  <si>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</si>
  <si>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</si>
  <si>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</si>
  <si>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</si>
  <si>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</si>
  <si>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</si>
  <si>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</si>
  <si>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</si>
  <si>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</si>
  <si>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</si>
  <si>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</si>
  <si>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</si>
  <si>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</si>
  <si>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</si>
  <si>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</si>
  <si>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</si>
  <si>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</si>
  <si>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</si>
  <si>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</si>
  <si>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</si>
  <si>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</si>
  <si>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</si>
  <si>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</si>
  <si>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</si>
  <si>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</si>
  <si>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</si>
  <si>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</si>
  <si>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</si>
  <si>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</si>
  <si>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</si>
  <si>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Erstatninger</t>
  </si>
  <si>
    <t>Gebyr til Miljøstyrelsen</t>
  </si>
  <si>
    <t>Øvrige afgifter</t>
  </si>
  <si>
    <t>Til statusmeddelelse for 2025</t>
  </si>
  <si>
    <t>Bundbeluftning</t>
  </si>
  <si>
    <t>Metangas</t>
  </si>
  <si>
    <t>Pumpestationer</t>
  </si>
  <si>
    <t>Renseanlæg</t>
  </si>
  <si>
    <t>Separatkloakering</t>
  </si>
  <si>
    <t>Byggemodning</t>
  </si>
  <si>
    <t>Nye tilslutninger</t>
  </si>
  <si>
    <t>Berigtigelse af kloakopland</t>
  </si>
  <si>
    <t>Driftsprojekt - flowmålinger i Bylderup Bov (påbud fra kommunen)</t>
  </si>
  <si>
    <t>Gennemgang af overløbsbygværker</t>
  </si>
  <si>
    <t>Højvande</t>
  </si>
  <si>
    <t>Svovlbrinte</t>
  </si>
  <si>
    <t>Uvedkommende vand</t>
  </si>
  <si>
    <t>Periodevise driftsomkostninger - oprensning af bassin 709, 801, 809 og 832</t>
  </si>
  <si>
    <t>Betalinger til projekters medfinansiering ØR - Pumpesluse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</si>
</sst>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5" t="s">
        <v>4</v>
      </c>
      <c r="D6" s="95"/>
      <c r="E6" s="95"/>
      <c r="F6" s="95"/>
      <c r="G6" s="3"/>
    </row>
    <row r="7" spans="1:7" ht="15" customHeight="1" x14ac:dyDescent="0.25">
      <c r="A7" s="1"/>
      <c r="B7" s="3"/>
      <c r="C7" s="95"/>
      <c r="D7" s="95"/>
      <c r="E7" s="95"/>
      <c r="F7" s="95"/>
      <c r="G7" s="3"/>
    </row>
    <row r="8" spans="1:7" ht="15.75" x14ac:dyDescent="0.25">
      <c r="A8" s="1"/>
      <c r="B8" s="4"/>
      <c r="C8" s="100" t="s">
        <v>233</v>
      </c>
      <c r="D8" s="100"/>
      <c r="E8" s="100"/>
      <c r="F8" s="100"/>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9" t="s">
        <v>5</v>
      </c>
      <c r="D11" s="99"/>
      <c r="E11" s="99"/>
      <c r="F11" s="99"/>
      <c r="G11" s="5"/>
    </row>
    <row r="12" spans="1:7" x14ac:dyDescent="0.25">
      <c r="A12" s="1"/>
      <c r="B12" s="1"/>
      <c r="C12" s="1"/>
      <c r="D12" s="1"/>
      <c r="E12" s="1"/>
      <c r="F12" s="1"/>
      <c r="G12" s="5"/>
    </row>
    <row r="13" spans="1:7" x14ac:dyDescent="0.25">
      <c r="A13" s="1"/>
      <c r="B13" s="6" t="s">
        <v>6</v>
      </c>
      <c r="C13" s="101" t="s">
        <v>127</v>
      </c>
      <c r="D13" s="102"/>
      <c r="E13" s="102"/>
      <c r="F13" s="103"/>
      <c r="G13" s="5"/>
    </row>
    <row r="14" spans="1:7" x14ac:dyDescent="0.25">
      <c r="A14" s="1"/>
      <c r="B14" s="6" t="s">
        <v>16</v>
      </c>
      <c r="C14" s="92" t="s">
        <v>186</v>
      </c>
      <c r="D14" s="93"/>
      <c r="E14" s="93"/>
      <c r="F14" s="94"/>
      <c r="G14" s="5"/>
    </row>
    <row r="15" spans="1:7" x14ac:dyDescent="0.25">
      <c r="A15" s="1"/>
      <c r="B15" s="6" t="s">
        <v>30</v>
      </c>
      <c r="C15" s="92" t="s">
        <v>149</v>
      </c>
      <c r="D15" s="93"/>
      <c r="E15" s="93"/>
      <c r="F15" s="94"/>
      <c r="G15" s="5"/>
    </row>
    <row r="16" spans="1:7" x14ac:dyDescent="0.25">
      <c r="A16" s="1"/>
      <c r="B16" s="6" t="s">
        <v>31</v>
      </c>
      <c r="C16" s="92" t="s">
        <v>151</v>
      </c>
      <c r="D16" s="93"/>
      <c r="E16" s="93"/>
      <c r="F16" s="94"/>
      <c r="G16" s="5"/>
    </row>
    <row r="17" spans="1:8" x14ac:dyDescent="0.25">
      <c r="A17" s="1"/>
      <c r="B17" s="6" t="s">
        <v>61</v>
      </c>
      <c r="C17" s="92" t="s">
        <v>152</v>
      </c>
      <c r="D17" s="93"/>
      <c r="E17" s="93"/>
      <c r="F17" s="94"/>
      <c r="G17" s="5"/>
    </row>
    <row r="18" spans="1:8" x14ac:dyDescent="0.25">
      <c r="A18" s="1"/>
      <c r="B18" s="6" t="s">
        <v>53</v>
      </c>
      <c r="C18" s="89" t="s">
        <v>45</v>
      </c>
      <c r="D18" s="90"/>
      <c r="E18" s="90"/>
      <c r="F18" s="91"/>
      <c r="G18" s="5"/>
    </row>
    <row r="19" spans="1:8" x14ac:dyDescent="0.25">
      <c r="A19" s="1"/>
      <c r="B19" s="6" t="s">
        <v>54</v>
      </c>
      <c r="C19" s="89" t="s">
        <v>46</v>
      </c>
      <c r="D19" s="90"/>
      <c r="E19" s="90"/>
      <c r="F19" s="91"/>
      <c r="G19" s="5"/>
    </row>
    <row r="20" spans="1:8" x14ac:dyDescent="0.25">
      <c r="A20" s="1"/>
      <c r="B20" s="6" t="s">
        <v>7</v>
      </c>
      <c r="C20" s="89" t="s">
        <v>10</v>
      </c>
      <c r="D20" s="90"/>
      <c r="E20" s="90"/>
      <c r="F20" s="91"/>
      <c r="G20" s="5"/>
    </row>
    <row r="21" spans="1:8" x14ac:dyDescent="0.25">
      <c r="A21" s="1"/>
      <c r="B21" s="6" t="s">
        <v>55</v>
      </c>
      <c r="C21" s="96" t="s">
        <v>12</v>
      </c>
      <c r="D21" s="97"/>
      <c r="E21" s="97"/>
      <c r="F21" s="98"/>
      <c r="G21" s="5"/>
    </row>
    <row r="22" spans="1:8" x14ac:dyDescent="0.25">
      <c r="A22" s="1"/>
      <c r="B22" s="6" t="s">
        <v>39</v>
      </c>
      <c r="C22" s="83" t="s">
        <v>153</v>
      </c>
      <c r="D22" s="84"/>
      <c r="E22" s="84"/>
      <c r="F22" s="85"/>
      <c r="G22" s="5"/>
    </row>
    <row r="23" spans="1:8" x14ac:dyDescent="0.25">
      <c r="A23" s="1"/>
      <c r="B23" s="6" t="s">
        <v>8</v>
      </c>
      <c r="C23" s="83" t="s">
        <v>112</v>
      </c>
      <c r="D23" s="84"/>
      <c r="E23" s="84"/>
      <c r="F23" s="85"/>
      <c r="G23" s="5"/>
    </row>
    <row r="24" spans="1:8" x14ac:dyDescent="0.25">
      <c r="A24" s="1"/>
      <c r="B24" s="6" t="s">
        <v>9</v>
      </c>
      <c r="C24" s="83" t="s">
        <v>154</v>
      </c>
      <c r="D24" s="84"/>
      <c r="E24" s="84"/>
      <c r="F24" s="85"/>
      <c r="G24" s="5"/>
    </row>
    <row r="25" spans="1:8" x14ac:dyDescent="0.25">
      <c r="A25" s="1"/>
      <c r="B25" s="6" t="s">
        <v>97</v>
      </c>
      <c r="C25" s="83" t="s">
        <v>91</v>
      </c>
      <c r="D25" s="84"/>
      <c r="E25" s="84"/>
      <c r="F25" s="85"/>
      <c r="G25" s="1"/>
    </row>
    <row r="26" spans="1:8" x14ac:dyDescent="0.25">
      <c r="A26" s="1"/>
      <c r="B26" s="6" t="s">
        <v>98</v>
      </c>
      <c r="C26" s="83" t="s">
        <v>40</v>
      </c>
      <c r="D26" s="84"/>
      <c r="E26" s="84"/>
      <c r="F26" s="85"/>
      <c r="G26" s="1"/>
    </row>
    <row r="27" spans="1:8" x14ac:dyDescent="0.25">
      <c r="A27" s="1"/>
      <c r="B27" s="6" t="s">
        <v>99</v>
      </c>
      <c r="C27" s="83" t="s">
        <v>41</v>
      </c>
      <c r="D27" s="84"/>
      <c r="E27" s="84"/>
      <c r="F27" s="85"/>
      <c r="G27" s="1"/>
    </row>
    <row r="28" spans="1:8" x14ac:dyDescent="0.25">
      <c r="A28" s="1"/>
      <c r="B28" s="6" t="s">
        <v>15</v>
      </c>
      <c r="C28" s="83" t="s">
        <v>42</v>
      </c>
      <c r="D28" s="84"/>
      <c r="E28" s="84"/>
      <c r="F28" s="85"/>
      <c r="G28" s="1"/>
      <c r="H28" s="2" t="s">
        <v>150</v>
      </c>
    </row>
    <row r="29" spans="1:8" x14ac:dyDescent="0.25">
      <c r="A29" s="1"/>
      <c r="B29" s="6" t="s">
        <v>33</v>
      </c>
      <c r="C29" s="83" t="s">
        <v>68</v>
      </c>
      <c r="D29" s="84"/>
      <c r="E29" s="84"/>
      <c r="F29" s="85"/>
      <c r="G29" s="1"/>
    </row>
    <row r="30" spans="1:8" x14ac:dyDescent="0.25">
      <c r="A30" s="1"/>
      <c r="B30" s="6" t="s">
        <v>34</v>
      </c>
      <c r="C30" s="83" t="s">
        <v>32</v>
      </c>
      <c r="D30" s="84"/>
      <c r="E30" s="84"/>
      <c r="F30" s="85"/>
      <c r="G30" s="1"/>
    </row>
    <row r="31" spans="1:8" x14ac:dyDescent="0.25">
      <c r="A31" s="1"/>
      <c r="B31" s="6" t="s">
        <v>100</v>
      </c>
      <c r="C31" s="86" t="s">
        <v>52</v>
      </c>
      <c r="D31" s="87"/>
      <c r="E31" s="87"/>
      <c r="F31" s="88"/>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ej21hfRp8GoIM+z8xqCBTqnzXehQE8m8yf9TSncck5ArngUsYLxgwO+PMLY4AOXzIwWgal61gfFKfTKSWkYW0w==" saltValue="jdytszDWt8K1o4Xyr80rHg=="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165</v>
      </c>
      <c r="C8" s="109"/>
      <c r="D8" s="110"/>
      <c r="E8" s="1"/>
    </row>
    <row r="9" spans="1:5" ht="15" customHeight="1" x14ac:dyDescent="0.25">
      <c r="A9" s="1"/>
      <c r="B9" s="27" t="s">
        <v>28</v>
      </c>
      <c r="C9" s="67" t="s">
        <v>166</v>
      </c>
      <c r="D9" s="11"/>
      <c r="E9" s="1"/>
    </row>
    <row r="10" spans="1:5" ht="15" customHeight="1" x14ac:dyDescent="0.25">
      <c r="A10" s="1"/>
      <c r="B10" s="71" t="s">
        <v>226</v>
      </c>
      <c r="C10" s="72">
        <v>2607147</v>
      </c>
      <c r="D10" s="14" t="s">
        <v>3</v>
      </c>
      <c r="E10" s="1"/>
    </row>
    <row r="11" spans="1:5" ht="15" customHeight="1" x14ac:dyDescent="0.25">
      <c r="A11" s="1"/>
      <c r="B11" s="71" t="s">
        <v>227</v>
      </c>
      <c r="C11" s="72">
        <v>92146</v>
      </c>
      <c r="D11" s="14" t="s">
        <v>3</v>
      </c>
      <c r="E11" s="1"/>
    </row>
    <row r="12" spans="1:5" ht="25.5" x14ac:dyDescent="0.25">
      <c r="A12" s="1"/>
      <c r="B12" s="71" t="s">
        <v>228</v>
      </c>
      <c r="C12" s="72">
        <v>653795</v>
      </c>
      <c r="D12" s="14" t="s">
        <v>3</v>
      </c>
      <c r="E12" s="1"/>
    </row>
    <row r="13" spans="1:5" x14ac:dyDescent="0.25">
      <c r="A13" s="1"/>
      <c r="B13" s="71" t="s">
        <v>229</v>
      </c>
      <c r="C13" s="72">
        <v>244772</v>
      </c>
      <c r="D13" s="14" t="s">
        <v>3</v>
      </c>
      <c r="E13" s="1"/>
    </row>
    <row r="14" spans="1:5" x14ac:dyDescent="0.25">
      <c r="A14" s="1"/>
      <c r="B14" s="71" t="s">
        <v>230</v>
      </c>
      <c r="C14" s="72">
        <v>293338.43</v>
      </c>
      <c r="D14" s="14" t="s">
        <v>3</v>
      </c>
      <c r="E14" s="1"/>
    </row>
    <row r="15" spans="1:5" x14ac:dyDescent="0.25">
      <c r="A15" s="1"/>
      <c r="B15" s="71" t="s">
        <v>248</v>
      </c>
      <c r="C15" s="72">
        <v>6400000</v>
      </c>
      <c r="D15" s="14" t="s">
        <v>3</v>
      </c>
      <c r="E15" s="1"/>
    </row>
    <row r="16" spans="1:5" x14ac:dyDescent="0.25">
      <c r="A16" s="1"/>
      <c r="B16" s="71" t="s">
        <v>231</v>
      </c>
      <c r="C16" s="72">
        <v>21259</v>
      </c>
      <c r="D16" s="14" t="s">
        <v>3</v>
      </c>
      <c r="E16" s="1"/>
    </row>
    <row r="17" spans="1:5" x14ac:dyDescent="0.25">
      <c r="A17" s="1"/>
      <c r="B17" s="71" t="s">
        <v>232</v>
      </c>
      <c r="C17" s="72">
        <v>1322502</v>
      </c>
      <c r="D17" s="14" t="s">
        <v>3</v>
      </c>
      <c r="E17" s="1"/>
    </row>
    <row r="18" spans="1:5" x14ac:dyDescent="0.25">
      <c r="A18" s="1"/>
      <c r="B18" s="71"/>
      <c r="C18" s="72"/>
      <c r="D18" s="14" t="s">
        <v>3</v>
      </c>
      <c r="E18" s="1"/>
    </row>
    <row r="19" spans="1:5" x14ac:dyDescent="0.25">
      <c r="A19" s="1"/>
      <c r="B19" s="71"/>
      <c r="C19" s="72"/>
      <c r="D19" s="14" t="s">
        <v>3</v>
      </c>
      <c r="E19" s="1"/>
    </row>
    <row r="20" spans="1:5" x14ac:dyDescent="0.25">
      <c r="A20" s="1"/>
      <c r="B20" s="33" t="s">
        <v>167</v>
      </c>
      <c r="C20" s="12">
        <f>SUM(C10:C19)</f>
        <v>11634959.43</v>
      </c>
      <c r="D20" s="13" t="s">
        <v>3</v>
      </c>
      <c r="E20" s="1"/>
    </row>
    <row r="21" spans="1:5" x14ac:dyDescent="0.25">
      <c r="A21" s="1"/>
      <c r="B21" s="33" t="s">
        <v>168</v>
      </c>
      <c r="C21" s="12">
        <f>C20*(1+'Fane 15. Nøgletal'!C10)^2</f>
        <v>13228898.725234857</v>
      </c>
      <c r="D21" s="13" t="s">
        <v>3</v>
      </c>
      <c r="E21" s="1"/>
    </row>
    <row r="22" spans="1:5" x14ac:dyDescent="0.25">
      <c r="A22" s="1"/>
      <c r="B22" s="16"/>
      <c r="C22" s="15"/>
      <c r="D22" s="15"/>
      <c r="E22" s="1"/>
    </row>
    <row r="23" spans="1:5" x14ac:dyDescent="0.25">
      <c r="A23" s="1"/>
      <c r="B23" s="16"/>
      <c r="C23" s="15"/>
      <c r="D23" s="15"/>
      <c r="E23" s="1"/>
    </row>
    <row r="24" spans="1:5" x14ac:dyDescent="0.25">
      <c r="A24" s="1"/>
      <c r="B24" s="108" t="s">
        <v>60</v>
      </c>
      <c r="C24" s="109"/>
      <c r="D24" s="110"/>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08"/>
      <c r="C29" s="109"/>
      <c r="D29" s="110"/>
      <c r="E29" s="1"/>
    </row>
    <row r="30" spans="1:5" x14ac:dyDescent="0.25">
      <c r="A30" s="1"/>
      <c r="B30" s="1"/>
      <c r="C30" s="1"/>
      <c r="D30" s="1"/>
      <c r="E30" s="1"/>
    </row>
    <row r="31" spans="1:5" x14ac:dyDescent="0.25">
      <c r="A31" s="1"/>
      <c r="B31" s="1"/>
      <c r="C31" s="1"/>
      <c r="D31" s="1"/>
      <c r="E31" s="1"/>
    </row>
    <row r="32" spans="1:5" x14ac:dyDescent="0.25">
      <c r="A32" s="1"/>
      <c r="B32" s="108" t="s">
        <v>47</v>
      </c>
      <c r="C32" s="109"/>
      <c r="D32" s="110"/>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8"/>
      <c r="C37" s="109"/>
      <c r="D37" s="110"/>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f175Jqg630YCplgd+/mIFBdnIAu43bNG9E4D3WW/oJrCduy2tQznFd5g1rWH7ffNw1YYgq7HJwBR9aT7Qjh93g==" saltValue="+7x1CmGskcHZsqX6/MrVU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201</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4"/>
      <c r="C6" s="74"/>
      <c r="D6" s="74"/>
      <c r="E6" s="1"/>
    </row>
    <row r="7" spans="1:5" x14ac:dyDescent="0.25">
      <c r="A7" s="1"/>
      <c r="B7" s="1"/>
      <c r="C7" s="1"/>
      <c r="D7" s="1"/>
      <c r="E7" s="1"/>
    </row>
    <row r="8" spans="1:5" x14ac:dyDescent="0.25">
      <c r="A8" s="1"/>
      <c r="B8" s="108" t="s">
        <v>77</v>
      </c>
      <c r="C8" s="109"/>
      <c r="D8" s="110"/>
      <c r="E8" s="1"/>
    </row>
    <row r="9" spans="1:5" x14ac:dyDescent="0.25">
      <c r="A9" s="1"/>
      <c r="B9" s="65" t="s">
        <v>204</v>
      </c>
      <c r="C9" s="9">
        <v>3195277.8953509331</v>
      </c>
      <c r="D9" s="14" t="s">
        <v>3</v>
      </c>
      <c r="E9" s="1"/>
    </row>
    <row r="10" spans="1:5" x14ac:dyDescent="0.25">
      <c r="A10" s="1"/>
      <c r="B10" s="33"/>
      <c r="C10" s="28"/>
      <c r="D10" s="19"/>
      <c r="E10" s="1"/>
    </row>
    <row r="11" spans="1:5" ht="53.25" customHeight="1" x14ac:dyDescent="0.25">
      <c r="A11" s="1"/>
      <c r="B11" s="119" t="s">
        <v>212</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19" t="s">
        <v>121</v>
      </c>
      <c r="C17" s="120"/>
      <c r="D17" s="121"/>
      <c r="E17" s="1"/>
    </row>
    <row r="18" spans="1:5" x14ac:dyDescent="0.25">
      <c r="A18" s="1"/>
      <c r="B18" s="1"/>
      <c r="C18" s="1"/>
      <c r="D18" s="1"/>
      <c r="E18" s="1"/>
    </row>
    <row r="19" spans="1:5" x14ac:dyDescent="0.25">
      <c r="A19" s="1"/>
      <c r="B19" s="75" t="s">
        <v>205</v>
      </c>
      <c r="C19" s="76"/>
      <c r="D19" s="77"/>
      <c r="E19" s="1"/>
    </row>
    <row r="20" spans="1:5" x14ac:dyDescent="0.25">
      <c r="A20" s="1"/>
      <c r="B20" s="65" t="s">
        <v>206</v>
      </c>
      <c r="C20" s="9">
        <v>132145549.21561787</v>
      </c>
      <c r="D20" s="14" t="s">
        <v>3</v>
      </c>
      <c r="E20" s="1"/>
    </row>
    <row r="21" spans="1:5" x14ac:dyDescent="0.25">
      <c r="A21" s="1"/>
      <c r="B21" s="65" t="s">
        <v>207</v>
      </c>
      <c r="C21" s="9">
        <v>127154656.58</v>
      </c>
      <c r="D21" s="14" t="s">
        <v>3</v>
      </c>
      <c r="E21" s="1"/>
    </row>
    <row r="22" spans="1:5" x14ac:dyDescent="0.25">
      <c r="A22" s="1"/>
      <c r="B22" s="65" t="s">
        <v>29</v>
      </c>
      <c r="C22" s="9">
        <v>0</v>
      </c>
      <c r="D22" s="14" t="s">
        <v>3</v>
      </c>
      <c r="E22" s="1"/>
    </row>
    <row r="23" spans="1:5" x14ac:dyDescent="0.25">
      <c r="A23" s="1"/>
      <c r="B23" s="81" t="s">
        <v>208</v>
      </c>
      <c r="C23" s="57">
        <f>C20-C21-C22</f>
        <v>4990892.6356178671</v>
      </c>
      <c r="D23" s="17" t="s">
        <v>3</v>
      </c>
      <c r="E23" s="1"/>
    </row>
    <row r="24" spans="1:5" x14ac:dyDescent="0.25">
      <c r="A24" s="1"/>
      <c r="B24" s="33"/>
      <c r="C24" s="28"/>
      <c r="D24" s="19"/>
      <c r="E24" s="1"/>
    </row>
    <row r="25" spans="1:5" x14ac:dyDescent="0.25">
      <c r="A25" s="1"/>
      <c r="B25" s="1"/>
      <c r="C25" s="1"/>
      <c r="D25" s="1"/>
      <c r="E25" s="1"/>
    </row>
    <row r="26" spans="1:5" x14ac:dyDescent="0.25">
      <c r="A26" s="1"/>
      <c r="B26" s="108" t="s">
        <v>209</v>
      </c>
      <c r="C26" s="109"/>
      <c r="D26" s="110"/>
      <c r="E26" s="1"/>
    </row>
    <row r="27" spans="1:5" x14ac:dyDescent="0.25">
      <c r="A27" s="1"/>
      <c r="B27" s="81" t="s">
        <v>210</v>
      </c>
      <c r="C27" s="57">
        <f>IF(AND(C15&lt;0,C23&gt;0,ABS(SUM(C14:C15))&lt;C23),ABS(C14),IF(AND(C15&lt;0,C23&gt;0,ABS(SUM(C14:C15))&gt;C23),SUM(C14,C23),C15))</f>
        <v>0</v>
      </c>
      <c r="D27" s="17" t="s">
        <v>3</v>
      </c>
      <c r="E27" s="1"/>
    </row>
    <row r="28" spans="1:5" x14ac:dyDescent="0.25">
      <c r="A28" s="1"/>
      <c r="B28" s="108"/>
      <c r="C28" s="109"/>
      <c r="D28" s="110"/>
      <c r="E28" s="1"/>
    </row>
    <row r="29" spans="1:5" x14ac:dyDescent="0.25">
      <c r="A29" s="1"/>
      <c r="B29" s="1"/>
      <c r="C29" s="1"/>
      <c r="D29" s="1"/>
      <c r="E29" s="1"/>
    </row>
    <row r="30" spans="1:5" x14ac:dyDescent="0.25">
      <c r="A30" s="1"/>
      <c r="B30" s="108" t="s">
        <v>211</v>
      </c>
      <c r="C30" s="109"/>
      <c r="D30" s="110"/>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2y7VHGBsHq8j7vWcTa7Zp7L9QWqe2GHNQMNvRz/m0/SqFvEkcxxf3w2sbNzGNNRyCf0788DtcJnahUaQ7OWp4A==" saltValue="v/msy+A4LrQ9gsARfk2DXw=="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6" t="s">
        <v>101</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x14ac:dyDescent="0.25">
      <c r="A8" s="1"/>
      <c r="B8" s="108" t="s">
        <v>120</v>
      </c>
      <c r="C8" s="109"/>
      <c r="D8" s="110"/>
      <c r="E8" s="1"/>
    </row>
    <row r="9" spans="1:5" ht="15" customHeight="1" x14ac:dyDescent="0.25">
      <c r="A9" s="1"/>
      <c r="B9" s="122" t="s">
        <v>102</v>
      </c>
      <c r="C9" s="123"/>
      <c r="D9" s="124"/>
      <c r="E9" s="1"/>
    </row>
    <row r="10" spans="1:5" x14ac:dyDescent="0.25">
      <c r="A10" s="1"/>
      <c r="B10" s="68" t="s">
        <v>103</v>
      </c>
      <c r="C10" s="9">
        <v>0</v>
      </c>
      <c r="D10" s="9" t="s">
        <v>3</v>
      </c>
      <c r="E10" s="1"/>
    </row>
    <row r="11" spans="1:5" x14ac:dyDescent="0.25">
      <c r="A11" s="1"/>
      <c r="B11" s="68" t="s">
        <v>104</v>
      </c>
      <c r="C11" s="9">
        <v>0</v>
      </c>
      <c r="D11" s="9" t="s">
        <v>3</v>
      </c>
      <c r="E11" s="1"/>
    </row>
    <row r="12" spans="1:5" x14ac:dyDescent="0.25">
      <c r="A12" s="1"/>
      <c r="B12" s="68" t="s">
        <v>105</v>
      </c>
      <c r="C12" s="9">
        <v>-6024166.6666666698</v>
      </c>
      <c r="D12" s="9" t="s">
        <v>3</v>
      </c>
      <c r="E12" s="1"/>
    </row>
    <row r="13" spans="1:5" x14ac:dyDescent="0.25">
      <c r="A13" s="1"/>
      <c r="B13" s="68" t="s">
        <v>106</v>
      </c>
      <c r="C13" s="9">
        <v>-6024166.6666666698</v>
      </c>
      <c r="D13" s="9" t="s">
        <v>3</v>
      </c>
      <c r="E13" s="1"/>
    </row>
    <row r="14" spans="1:5" x14ac:dyDescent="0.25">
      <c r="A14" s="1"/>
      <c r="B14" s="68" t="s">
        <v>107</v>
      </c>
      <c r="C14" s="9">
        <v>-6024166.6666666698</v>
      </c>
      <c r="D14" s="9" t="s">
        <v>3</v>
      </c>
      <c r="E14" s="1"/>
    </row>
    <row r="15" spans="1:5" x14ac:dyDescent="0.25">
      <c r="A15" s="1"/>
      <c r="B15" s="68" t="s">
        <v>108</v>
      </c>
      <c r="C15" s="9">
        <v>-6024166.6666666698</v>
      </c>
      <c r="D15" s="9" t="s">
        <v>3</v>
      </c>
      <c r="E15" s="1"/>
    </row>
    <row r="16" spans="1:5" x14ac:dyDescent="0.25">
      <c r="A16" s="1"/>
      <c r="B16" s="68" t="s">
        <v>109</v>
      </c>
      <c r="C16" s="9">
        <v>-6024166.6666666698</v>
      </c>
      <c r="D16" s="9" t="s">
        <v>3</v>
      </c>
      <c r="E16" s="1"/>
    </row>
    <row r="17" spans="1:5" x14ac:dyDescent="0.25">
      <c r="A17" s="1"/>
      <c r="B17" s="68" t="s">
        <v>110</v>
      </c>
      <c r="C17" s="9">
        <v>-6024166.6666666698</v>
      </c>
      <c r="D17" s="9" t="s">
        <v>3</v>
      </c>
      <c r="E17" s="1"/>
    </row>
    <row r="18" spans="1:5" x14ac:dyDescent="0.25">
      <c r="A18" s="1"/>
      <c r="B18" s="75" t="s">
        <v>111</v>
      </c>
      <c r="C18" s="12">
        <f>SUM(C10:C17)</f>
        <v>-36145000.000000022</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LQA3EcTdnuG9TsvRbQzFbZrUgUuMYjdTftyg5BfzkOULoSWK5izrziKFnt+KtwKFPrvKWdGN8zSTQSxUROUK2A==" saltValue="uWIKsSiKJ0eK4AXKYCa9g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170</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171</v>
      </c>
      <c r="C8" s="109"/>
      <c r="D8" s="110"/>
      <c r="E8" s="1"/>
    </row>
    <row r="9" spans="1:5" ht="26.25" x14ac:dyDescent="0.25">
      <c r="A9" s="1"/>
      <c r="B9" s="78" t="s">
        <v>215</v>
      </c>
      <c r="C9" s="7">
        <v>0</v>
      </c>
      <c r="D9" s="8" t="s">
        <v>3</v>
      </c>
      <c r="E9" s="1"/>
    </row>
    <row r="10" spans="1:5" ht="14.25" customHeight="1" x14ac:dyDescent="0.25">
      <c r="A10" s="1"/>
      <c r="B10" s="65" t="s">
        <v>172</v>
      </c>
      <c r="C10" s="7">
        <v>0</v>
      </c>
      <c r="D10" s="8" t="s">
        <v>3</v>
      </c>
      <c r="E10" s="1"/>
    </row>
    <row r="11" spans="1:5" ht="14.25" customHeight="1" x14ac:dyDescent="0.25">
      <c r="A11" s="1"/>
      <c r="B11" s="81" t="s">
        <v>48</v>
      </c>
      <c r="C11" s="10">
        <f>C10-C9</f>
        <v>0</v>
      </c>
      <c r="D11" s="11" t="s">
        <v>3</v>
      </c>
      <c r="E11" s="1"/>
    </row>
    <row r="12" spans="1:5" ht="14.25" customHeight="1" x14ac:dyDescent="0.25">
      <c r="A12" s="1"/>
      <c r="B12" s="108" t="s">
        <v>217</v>
      </c>
      <c r="C12" s="109"/>
      <c r="D12" s="110"/>
      <c r="E12" s="1"/>
    </row>
    <row r="13" spans="1:5" ht="26.25" x14ac:dyDescent="0.25">
      <c r="A13" s="1"/>
      <c r="B13" s="78" t="s">
        <v>216</v>
      </c>
      <c r="C13" s="7">
        <v>0</v>
      </c>
      <c r="D13" s="8" t="s">
        <v>3</v>
      </c>
      <c r="E13" s="1"/>
    </row>
    <row r="14" spans="1:5" ht="14.25" customHeight="1" x14ac:dyDescent="0.25">
      <c r="A14" s="1"/>
      <c r="B14" s="65" t="s">
        <v>173</v>
      </c>
      <c r="C14" s="7">
        <v>0</v>
      </c>
      <c r="D14" s="8" t="s">
        <v>3</v>
      </c>
      <c r="E14" s="1"/>
    </row>
    <row r="15" spans="1:5" ht="14.25" customHeight="1" x14ac:dyDescent="0.25">
      <c r="A15" s="1"/>
      <c r="B15" s="81"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mcglpVwlhYczd6B/RccOomd3PVwaC+jUDvYzuyWW1eVSGUnxmPKbIymaSQqCdC1DCSPfgD5Nn0US+bpMGjT3DA==" saltValue="PuqXXyfhLGhCLCWw6b34e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113</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86</v>
      </c>
      <c r="C8" s="109"/>
      <c r="D8" s="109"/>
      <c r="E8" s="109"/>
      <c r="F8" s="109"/>
      <c r="G8" s="109"/>
      <c r="H8" s="109"/>
      <c r="I8" s="109"/>
      <c r="J8" s="109"/>
      <c r="K8" s="110"/>
      <c r="L8" s="1"/>
    </row>
    <row r="9" spans="1:12" ht="39.75" customHeight="1" x14ac:dyDescent="0.25">
      <c r="A9" s="1"/>
      <c r="B9" s="18" t="s">
        <v>0</v>
      </c>
      <c r="C9" s="18" t="s">
        <v>1</v>
      </c>
      <c r="D9" s="125" t="s">
        <v>96</v>
      </c>
      <c r="E9" s="126"/>
      <c r="F9" s="125" t="s">
        <v>2</v>
      </c>
      <c r="G9" s="126"/>
      <c r="H9" s="125" t="s">
        <v>95</v>
      </c>
      <c r="I9" s="126"/>
      <c r="J9" s="125" t="s">
        <v>26</v>
      </c>
      <c r="K9" s="126"/>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5" t="s">
        <v>219</v>
      </c>
      <c r="C11" s="76"/>
      <c r="D11" s="77"/>
      <c r="E11" s="77"/>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H2ZVGhkBDtbc01QCEKyUyhH3ER8PA3flo5urx0kV2eS+NjIOclvywJz7GsUscB1hVxvgATfAHeOVJmtib2eRqQ==" saltValue="h9AsR6BOUakXbQz9rrS2r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114</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79" t="s">
        <v>17</v>
      </c>
      <c r="C9" s="81" t="s">
        <v>11</v>
      </c>
      <c r="D9" s="80"/>
      <c r="E9" s="81"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234</v>
      </c>
      <c r="C11" s="21">
        <v>0</v>
      </c>
      <c r="D11" s="14" t="s">
        <v>3</v>
      </c>
      <c r="E11" s="9">
        <v>78023</v>
      </c>
      <c r="F11" s="14" t="s">
        <v>3</v>
      </c>
      <c r="G11" s="1"/>
    </row>
    <row r="12" spans="1:7" x14ac:dyDescent="0.25">
      <c r="A12" s="1"/>
      <c r="B12" s="24" t="s">
        <v>235</v>
      </c>
      <c r="C12" s="21">
        <v>0</v>
      </c>
      <c r="D12" s="14" t="s">
        <v>3</v>
      </c>
      <c r="E12" s="9">
        <v>474303</v>
      </c>
      <c r="F12" s="14" t="s">
        <v>3</v>
      </c>
      <c r="G12" s="1"/>
    </row>
    <row r="13" spans="1:7" x14ac:dyDescent="0.25">
      <c r="A13" s="1"/>
      <c r="B13" s="24" t="s">
        <v>236</v>
      </c>
      <c r="C13" s="21">
        <v>0</v>
      </c>
      <c r="D13" s="14" t="s">
        <v>3</v>
      </c>
      <c r="E13" s="9">
        <v>5979</v>
      </c>
      <c r="F13" s="14" t="s">
        <v>3</v>
      </c>
      <c r="G13" s="1"/>
    </row>
    <row r="14" spans="1:7" x14ac:dyDescent="0.25">
      <c r="A14" s="1"/>
      <c r="B14" s="24" t="s">
        <v>237</v>
      </c>
      <c r="C14" s="21">
        <v>0</v>
      </c>
      <c r="D14" s="14" t="s">
        <v>3</v>
      </c>
      <c r="E14" s="9">
        <v>9876</v>
      </c>
      <c r="F14" s="14" t="s">
        <v>3</v>
      </c>
      <c r="G14" s="1"/>
    </row>
    <row r="15" spans="1:7" x14ac:dyDescent="0.25">
      <c r="A15" s="1"/>
      <c r="B15" s="24" t="s">
        <v>238</v>
      </c>
      <c r="C15" s="21">
        <v>392643</v>
      </c>
      <c r="D15" s="14" t="s">
        <v>3</v>
      </c>
      <c r="E15" s="9">
        <v>1592346</v>
      </c>
      <c r="F15" s="14" t="s">
        <v>3</v>
      </c>
      <c r="G15" s="1"/>
    </row>
    <row r="16" spans="1:7" x14ac:dyDescent="0.25">
      <c r="A16" s="1"/>
      <c r="B16" s="24" t="s">
        <v>239</v>
      </c>
      <c r="C16" s="21">
        <v>56852</v>
      </c>
      <c r="D16" s="14" t="s">
        <v>3</v>
      </c>
      <c r="E16" s="9">
        <v>117776</v>
      </c>
      <c r="F16" s="14" t="s">
        <v>3</v>
      </c>
      <c r="G16" s="1"/>
    </row>
    <row r="17" spans="1:7" x14ac:dyDescent="0.25">
      <c r="A17" s="1"/>
      <c r="B17" s="24" t="s">
        <v>240</v>
      </c>
      <c r="C17" s="21">
        <v>3629</v>
      </c>
      <c r="D17" s="14" t="s">
        <v>3</v>
      </c>
      <c r="E17" s="9">
        <v>6324</v>
      </c>
      <c r="F17" s="14" t="s">
        <v>3</v>
      </c>
      <c r="G17" s="1"/>
    </row>
    <row r="18" spans="1:7" ht="26.25" x14ac:dyDescent="0.25">
      <c r="A18" s="1"/>
      <c r="B18" s="70" t="s">
        <v>247</v>
      </c>
      <c r="C18" s="21">
        <v>74286</v>
      </c>
      <c r="D18" s="14" t="s">
        <v>3</v>
      </c>
      <c r="E18" s="9">
        <v>0</v>
      </c>
      <c r="F18" s="14" t="s">
        <v>3</v>
      </c>
      <c r="G18" s="1"/>
    </row>
    <row r="19" spans="1:7" x14ac:dyDescent="0.25">
      <c r="A19" s="1"/>
      <c r="B19" s="33" t="s">
        <v>139</v>
      </c>
      <c r="C19" s="12">
        <f>SUM(C10:C18)</f>
        <v>527410</v>
      </c>
      <c r="D19" s="13" t="s">
        <v>3</v>
      </c>
      <c r="E19" s="12">
        <f>SUM(E10:E18)</f>
        <v>2284627</v>
      </c>
      <c r="F19" s="13" t="s">
        <v>3</v>
      </c>
      <c r="G19" s="1"/>
    </row>
    <row r="20" spans="1:7" x14ac:dyDescent="0.25">
      <c r="A20" s="1"/>
      <c r="B20" s="33" t="s">
        <v>175</v>
      </c>
      <c r="C20" s="12">
        <f>C19*(1+'Fane 15. Nøgletal'!C10)</f>
        <v>562377.28300000005</v>
      </c>
      <c r="D20" s="13" t="s">
        <v>3</v>
      </c>
      <c r="E20" s="12">
        <f>E19*(1+'Fane 15. Nøgletal'!C10)</f>
        <v>2436097.7700999998</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BCo5xQOkvadJh/cZUXN2hYjiFA6rTz8fVySBvu7VPkb2TYMu/PU4rOkpawDu79QEZdmqmc0JyeKOPHl1yLAHWw==" saltValue="ZFKNG3z9220BMBus4e3nl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61"/>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115</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176</v>
      </c>
      <c r="C8" s="109"/>
      <c r="D8" s="109"/>
      <c r="E8" s="109"/>
      <c r="F8" s="110"/>
      <c r="G8" s="1"/>
    </row>
    <row r="9" spans="1:7" x14ac:dyDescent="0.25">
      <c r="A9" s="1"/>
      <c r="B9" s="79" t="s">
        <v>17</v>
      </c>
      <c r="C9" s="81" t="s">
        <v>11</v>
      </c>
      <c r="D9" s="80"/>
      <c r="E9" s="81" t="s">
        <v>27</v>
      </c>
      <c r="F9" s="32"/>
      <c r="G9" s="1"/>
    </row>
    <row r="10" spans="1:7" x14ac:dyDescent="0.25">
      <c r="A10" s="1"/>
      <c r="B10" s="24" t="s">
        <v>241</v>
      </c>
      <c r="C10" s="21">
        <v>219200</v>
      </c>
      <c r="D10" s="14" t="s">
        <v>3</v>
      </c>
      <c r="E10" s="9">
        <v>0</v>
      </c>
      <c r="F10" s="14" t="s">
        <v>3</v>
      </c>
      <c r="G10" s="1"/>
    </row>
    <row r="11" spans="1:7" x14ac:dyDescent="0.25">
      <c r="A11" s="1"/>
      <c r="B11" s="24" t="s">
        <v>242</v>
      </c>
      <c r="C11" s="21">
        <v>111068</v>
      </c>
      <c r="D11" s="14" t="s">
        <v>3</v>
      </c>
      <c r="E11" s="9">
        <v>0</v>
      </c>
      <c r="F11" s="14" t="s">
        <v>3</v>
      </c>
      <c r="G11" s="1"/>
    </row>
    <row r="12" spans="1:7" x14ac:dyDescent="0.25">
      <c r="A12" s="1"/>
      <c r="B12" s="24" t="s">
        <v>243</v>
      </c>
      <c r="C12" s="21">
        <v>131145</v>
      </c>
      <c r="D12" s="14" t="s">
        <v>3</v>
      </c>
      <c r="E12" s="9">
        <v>0</v>
      </c>
      <c r="F12" s="14" t="s">
        <v>3</v>
      </c>
      <c r="G12" s="1"/>
    </row>
    <row r="13" spans="1:7" x14ac:dyDescent="0.25">
      <c r="A13" s="1"/>
      <c r="B13" s="24" t="s">
        <v>244</v>
      </c>
      <c r="C13" s="21">
        <v>473467</v>
      </c>
      <c r="D13" s="14" t="s">
        <v>3</v>
      </c>
      <c r="E13" s="9">
        <v>0</v>
      </c>
      <c r="F13" s="14" t="s">
        <v>3</v>
      </c>
      <c r="G13" s="1"/>
    </row>
    <row r="14" spans="1:7" x14ac:dyDescent="0.25">
      <c r="A14" s="1"/>
      <c r="B14" s="24" t="s">
        <v>245</v>
      </c>
      <c r="C14" s="21">
        <v>567388</v>
      </c>
      <c r="D14" s="14" t="s">
        <v>3</v>
      </c>
      <c r="E14" s="9">
        <v>0</v>
      </c>
      <c r="F14" s="14" t="s">
        <v>3</v>
      </c>
      <c r="G14" s="1"/>
    </row>
    <row r="15" spans="1:7" x14ac:dyDescent="0.25">
      <c r="A15" s="1"/>
      <c r="B15" s="24" t="s">
        <v>246</v>
      </c>
      <c r="C15" s="21">
        <v>896270</v>
      </c>
      <c r="D15" s="14" t="s">
        <v>3</v>
      </c>
      <c r="E15" s="9">
        <v>0</v>
      </c>
      <c r="F15" s="14" t="s">
        <v>3</v>
      </c>
      <c r="G15" s="1"/>
    </row>
    <row r="16" spans="1:7" ht="26.25" x14ac:dyDescent="0.25">
      <c r="A16" s="1"/>
      <c r="B16" s="70" t="s">
        <v>247</v>
      </c>
      <c r="C16" s="21">
        <v>742862</v>
      </c>
      <c r="D16" s="14" t="s">
        <v>3</v>
      </c>
      <c r="E16" s="9">
        <v>0</v>
      </c>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24"/>
      <c r="C19" s="21"/>
      <c r="D19" s="14" t="s">
        <v>3</v>
      </c>
      <c r="E19" s="9"/>
      <c r="F19" s="14" t="s">
        <v>3</v>
      </c>
      <c r="G19" s="1"/>
    </row>
    <row r="20" spans="1:7" x14ac:dyDescent="0.25">
      <c r="A20" s="1"/>
      <c r="B20" s="24"/>
      <c r="C20" s="21"/>
      <c r="D20" s="14" t="s">
        <v>3</v>
      </c>
      <c r="E20" s="9"/>
      <c r="F20" s="14" t="s">
        <v>3</v>
      </c>
      <c r="G20" s="1"/>
    </row>
    <row r="21" spans="1:7" x14ac:dyDescent="0.25">
      <c r="A21" s="1"/>
      <c r="B21" s="24"/>
      <c r="C21" s="21"/>
      <c r="D21" s="14" t="s">
        <v>3</v>
      </c>
      <c r="E21" s="9"/>
      <c r="F21" s="14" t="s">
        <v>3</v>
      </c>
      <c r="G21" s="1"/>
    </row>
    <row r="22" spans="1:7" x14ac:dyDescent="0.25">
      <c r="A22" s="1"/>
      <c r="B22" s="24"/>
      <c r="C22" s="21"/>
      <c r="D22" s="14" t="s">
        <v>3</v>
      </c>
      <c r="E22" s="9"/>
      <c r="F22" s="14" t="s">
        <v>3</v>
      </c>
      <c r="G22" s="1"/>
    </row>
    <row r="23" spans="1:7" x14ac:dyDescent="0.25">
      <c r="A23" s="1"/>
      <c r="B23" s="24"/>
      <c r="C23" s="21"/>
      <c r="D23" s="14" t="s">
        <v>3</v>
      </c>
      <c r="E23" s="9"/>
      <c r="F23" s="14" t="s">
        <v>3</v>
      </c>
      <c r="G23" s="1"/>
    </row>
    <row r="24" spans="1:7" x14ac:dyDescent="0.25">
      <c r="A24" s="1"/>
      <c r="B24" s="24"/>
      <c r="C24" s="21"/>
      <c r="D24" s="14" t="s">
        <v>3</v>
      </c>
      <c r="E24" s="9"/>
      <c r="F24" s="14" t="s">
        <v>3</v>
      </c>
      <c r="G24" s="1"/>
    </row>
    <row r="25" spans="1:7" x14ac:dyDescent="0.25">
      <c r="A25" s="1"/>
      <c r="B25" s="33" t="s">
        <v>177</v>
      </c>
      <c r="C25" s="12">
        <f>SUM(C10:C24)</f>
        <v>3141400</v>
      </c>
      <c r="D25" s="13" t="s">
        <v>3</v>
      </c>
      <c r="E25" s="12">
        <f>SUM(E10:E24)</f>
        <v>0</v>
      </c>
      <c r="F25" s="13" t="s">
        <v>3</v>
      </c>
      <c r="G25" s="1"/>
    </row>
    <row r="26" spans="1:7" x14ac:dyDescent="0.25">
      <c r="A26" s="1"/>
      <c r="B26" s="33" t="s">
        <v>178</v>
      </c>
      <c r="C26" s="12">
        <f>C25*(1+'Fane 15. Nøgletal'!C10)^2</f>
        <v>3571758.2605659999</v>
      </c>
      <c r="D26" s="13" t="s">
        <v>3</v>
      </c>
      <c r="E26" s="12">
        <f>E25*(1+'Fane 15. Nøgletal'!C10)^2</f>
        <v>0</v>
      </c>
      <c r="F26" s="13" t="s">
        <v>3</v>
      </c>
      <c r="G26" s="1"/>
    </row>
    <row r="27" spans="1:7" x14ac:dyDescent="0.25">
      <c r="A27" s="1"/>
      <c r="B27" s="1"/>
      <c r="C27" s="1"/>
      <c r="D27" s="1"/>
      <c r="E27" s="1"/>
      <c r="F27" s="1"/>
      <c r="G27" s="1"/>
    </row>
    <row r="28" spans="1:7" x14ac:dyDescent="0.25">
      <c r="A28" s="1"/>
      <c r="B28" s="127"/>
      <c r="C28" s="127"/>
      <c r="D28" s="127"/>
      <c r="E28" s="127"/>
      <c r="F28" s="127"/>
      <c r="G28" s="1"/>
    </row>
    <row r="29" spans="1:7" x14ac:dyDescent="0.25">
      <c r="A29" s="1"/>
      <c r="B29" s="47"/>
      <c r="C29" s="47"/>
      <c r="D29" s="47"/>
      <c r="E29" s="47"/>
      <c r="F29" s="48"/>
      <c r="G29" s="1"/>
    </row>
    <row r="30" spans="1:7" x14ac:dyDescent="0.25">
      <c r="A30" s="1"/>
      <c r="B30" s="49"/>
      <c r="C30" s="50"/>
      <c r="D30" s="51"/>
      <c r="E30" s="52"/>
      <c r="F30" s="51"/>
      <c r="G30" s="1"/>
    </row>
    <row r="31" spans="1:7" x14ac:dyDescent="0.25">
      <c r="A31" s="1"/>
      <c r="B31" s="49"/>
      <c r="C31" s="50"/>
      <c r="D31" s="51"/>
      <c r="E31" s="52"/>
      <c r="F31" s="51"/>
      <c r="G31" s="1"/>
    </row>
    <row r="32" spans="1:7" x14ac:dyDescent="0.25">
      <c r="A32" s="1"/>
      <c r="B32" s="53"/>
      <c r="C32" s="54"/>
      <c r="D32" s="55"/>
      <c r="E32" s="54"/>
      <c r="F32" s="55"/>
      <c r="G32" s="1"/>
    </row>
    <row r="33" spans="1:7" x14ac:dyDescent="0.25">
      <c r="A33" s="1"/>
      <c r="B33" s="53"/>
      <c r="C33" s="54"/>
      <c r="D33" s="55"/>
      <c r="E33" s="54"/>
      <c r="F33" s="55"/>
      <c r="G33" s="1"/>
    </row>
    <row r="34" spans="1:7" x14ac:dyDescent="0.25">
      <c r="A34" s="1"/>
      <c r="B34" s="46"/>
      <c r="C34" s="46"/>
      <c r="D34" s="46"/>
      <c r="E34" s="46"/>
      <c r="F34" s="46"/>
      <c r="G34" s="1"/>
    </row>
    <row r="35" spans="1:7" x14ac:dyDescent="0.25">
      <c r="A35" s="1"/>
      <c r="B35" s="47"/>
      <c r="C35" s="47"/>
      <c r="D35" s="47"/>
      <c r="E35" s="47"/>
      <c r="F35" s="48"/>
      <c r="G35" s="1"/>
    </row>
    <row r="36" spans="1:7" x14ac:dyDescent="0.25">
      <c r="A36" s="1"/>
      <c r="B36" s="49"/>
      <c r="C36" s="50"/>
      <c r="D36" s="51"/>
      <c r="E36" s="52"/>
      <c r="F36" s="51"/>
      <c r="G36" s="1"/>
    </row>
    <row r="37" spans="1:7" x14ac:dyDescent="0.25">
      <c r="A37" s="1"/>
      <c r="B37" s="49"/>
      <c r="C37" s="50"/>
      <c r="D37" s="51"/>
      <c r="E37" s="52"/>
      <c r="F37" s="51"/>
      <c r="G37" s="1"/>
    </row>
    <row r="38" spans="1:7" x14ac:dyDescent="0.25">
      <c r="A38" s="1"/>
      <c r="B38" s="53"/>
      <c r="C38" s="54"/>
      <c r="D38" s="55"/>
      <c r="E38" s="54"/>
      <c r="F38" s="55"/>
      <c r="G38" s="1"/>
    </row>
    <row r="39" spans="1:7" x14ac:dyDescent="0.25">
      <c r="A39" s="1"/>
      <c r="B39" s="53"/>
      <c r="C39" s="54"/>
      <c r="D39" s="55"/>
      <c r="E39" s="54"/>
      <c r="F39" s="55"/>
      <c r="G39" s="1"/>
    </row>
    <row r="40" spans="1:7" x14ac:dyDescent="0.25">
      <c r="A40" s="1"/>
      <c r="B40" s="46"/>
      <c r="C40" s="46"/>
      <c r="D40" s="46"/>
      <c r="E40" s="46"/>
      <c r="F40" s="46"/>
      <c r="G40" s="1"/>
    </row>
    <row r="41" spans="1:7" x14ac:dyDescent="0.25">
      <c r="A41" s="1"/>
      <c r="B41" s="127"/>
      <c r="C41" s="127"/>
      <c r="D41" s="127"/>
      <c r="E41" s="127"/>
      <c r="F41" s="127"/>
      <c r="G41" s="1"/>
    </row>
    <row r="42" spans="1:7" x14ac:dyDescent="0.25">
      <c r="A42" s="1"/>
      <c r="B42" s="47"/>
      <c r="C42" s="47"/>
      <c r="D42" s="47"/>
      <c r="E42" s="47"/>
      <c r="F42" s="48"/>
      <c r="G42" s="1"/>
    </row>
    <row r="43" spans="1:7" x14ac:dyDescent="0.25">
      <c r="A43" s="1"/>
      <c r="B43" s="49"/>
      <c r="C43" s="50"/>
      <c r="D43" s="51"/>
      <c r="E43" s="52"/>
      <c r="F43" s="51"/>
      <c r="G43" s="1"/>
    </row>
    <row r="44" spans="1:7" x14ac:dyDescent="0.25">
      <c r="A44" s="1"/>
      <c r="B44" s="49"/>
      <c r="C44" s="50"/>
      <c r="D44" s="51"/>
      <c r="E44" s="52"/>
      <c r="F44" s="51"/>
      <c r="G44" s="1"/>
    </row>
    <row r="45" spans="1:7" x14ac:dyDescent="0.25">
      <c r="A45" s="1"/>
      <c r="B45" s="53"/>
      <c r="C45" s="54"/>
      <c r="D45" s="55"/>
      <c r="E45" s="54"/>
      <c r="F45" s="55"/>
      <c r="G45" s="1"/>
    </row>
    <row r="46" spans="1:7" x14ac:dyDescent="0.25">
      <c r="A46" s="1"/>
      <c r="B46" s="53"/>
      <c r="C46" s="54"/>
      <c r="D46" s="55"/>
      <c r="E46" s="54"/>
      <c r="F46" s="55"/>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A56" s="1"/>
      <c r="B56" s="1"/>
      <c r="C56" s="1"/>
      <c r="D56" s="1"/>
      <c r="E56" s="1"/>
      <c r="F56" s="1"/>
      <c r="G56" s="1"/>
    </row>
    <row r="57" spans="1:7" x14ac:dyDescent="0.25">
      <c r="A57" s="1"/>
      <c r="B57" s="1"/>
      <c r="C57" s="1"/>
      <c r="D57" s="1"/>
      <c r="E57" s="1"/>
      <c r="F57" s="1"/>
      <c r="G57" s="1"/>
    </row>
    <row r="58" spans="1:7" x14ac:dyDescent="0.25">
      <c r="A58" s="1"/>
      <c r="B58" s="1"/>
      <c r="C58" s="1"/>
      <c r="D58" s="1"/>
      <c r="E58" s="1"/>
      <c r="F58" s="1"/>
      <c r="G58" s="1"/>
    </row>
    <row r="59" spans="1:7" x14ac:dyDescent="0.25">
      <c r="A59" s="1"/>
      <c r="B59" s="1"/>
      <c r="C59" s="1"/>
      <c r="D59" s="1"/>
      <c r="E59" s="1"/>
      <c r="F59" s="1"/>
      <c r="G59" s="1"/>
    </row>
    <row r="60" spans="1:7" x14ac:dyDescent="0.25">
      <c r="A60" s="1"/>
      <c r="B60" s="1"/>
      <c r="C60" s="1"/>
      <c r="D60" s="1"/>
      <c r="E60" s="1"/>
      <c r="F60" s="1"/>
      <c r="G60" s="1"/>
    </row>
    <row r="61" spans="1:7" x14ac:dyDescent="0.25">
      <c r="A61" s="1"/>
      <c r="B61" s="1"/>
      <c r="C61" s="1"/>
      <c r="D61" s="1"/>
      <c r="E61" s="1"/>
      <c r="F61" s="1"/>
      <c r="G61" s="1"/>
    </row>
  </sheetData>
  <sheetProtection algorithmName="SHA-512" hashValue="q49iVdu5j6Q9I0szQc1TWXXu6KrYY6+wiILHyWbx6E7gv3Rl5qCCLuY4tSpAUrmC0f8jEauC+7sPjEyVrCGzDw==" saltValue="VWsxyyqw6GYt6+pJgWmPPg==" spinCount="100000" sheet="1" objects="1" scenarios="1"/>
  <mergeCells count="4">
    <mergeCell ref="B41:F41"/>
    <mergeCell ref="B3:F4"/>
    <mergeCell ref="B8:F8"/>
    <mergeCell ref="B28:F28"/>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116</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5" t="s">
        <v>74</v>
      </c>
      <c r="C12" s="12">
        <f>SUM(C9:C11)*(1+'Fane 15. Nøgletal'!C9)^2</f>
        <v>0</v>
      </c>
      <c r="D12" s="13"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5" t="s">
        <v>85</v>
      </c>
      <c r="C18" s="12">
        <f>SUM(C15:C17)*(1+'Fane 15. Nøgletal'!C10)^3</f>
        <v>0</v>
      </c>
      <c r="D18" s="13" t="s">
        <v>3</v>
      </c>
      <c r="E18" s="1"/>
    </row>
    <row r="19" spans="1:5" x14ac:dyDescent="0.25">
      <c r="A19" s="1"/>
      <c r="B19" s="1"/>
      <c r="C19" s="1"/>
      <c r="D19" s="1"/>
      <c r="E19" s="1"/>
    </row>
    <row r="20" spans="1:5" ht="15" customHeight="1" x14ac:dyDescent="0.25">
      <c r="A20" s="1"/>
      <c r="B20" s="108" t="s">
        <v>140</v>
      </c>
      <c r="C20" s="109"/>
      <c r="D20" s="110"/>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5" t="s">
        <v>141</v>
      </c>
      <c r="C24" s="12">
        <f>SUM(C21:C23)*(1+'Fane 15. Nøgletal'!C10)^4</f>
        <v>0</v>
      </c>
      <c r="D24" s="13" t="s">
        <v>3</v>
      </c>
      <c r="E24" s="1"/>
    </row>
    <row r="25" spans="1:5" x14ac:dyDescent="0.25">
      <c r="A25" s="1"/>
      <c r="B25" s="1"/>
      <c r="C25" s="1"/>
      <c r="D25" s="1"/>
      <c r="E25" s="1"/>
    </row>
    <row r="26" spans="1:5" ht="15" customHeight="1" x14ac:dyDescent="0.25">
      <c r="A26" s="1"/>
      <c r="B26" s="108" t="s">
        <v>180</v>
      </c>
      <c r="C26" s="109"/>
      <c r="D26" s="110"/>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5"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o7t7Kc6CK4ZOBlaM1IM3daMpHDZHAQU8zzA4Gf+Cn/CVruhj76XGz7cbniJFFkZ/oGF2czYONpGqOqd4Zrbc9Q==" saltValue="euOM1IUN/SYAF9wVIDqz4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117</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Tuty9vWQGeIh/3avgWUnvLvrTwwfajCJbOcrVSM/zsc3Q6Y5Z98CFQDvNTDx4E12ep9UOKrCQynnoThpP/U14A==" saltValue="B9pKDQfkjelO6dn0+zW+j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118</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183</v>
      </c>
      <c r="C8" s="109"/>
      <c r="D8" s="109"/>
      <c r="E8" s="109"/>
      <c r="F8" s="110"/>
      <c r="G8" s="1"/>
    </row>
    <row r="9" spans="1:7" x14ac:dyDescent="0.25">
      <c r="A9" s="1"/>
      <c r="B9" s="31" t="s">
        <v>18</v>
      </c>
      <c r="C9" s="128" t="s">
        <v>11</v>
      </c>
      <c r="D9" s="129"/>
      <c r="E9" s="128" t="s">
        <v>27</v>
      </c>
      <c r="F9" s="129"/>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7"/>
      <c r="C21" s="127"/>
      <c r="D21" s="127"/>
      <c r="E21" s="127"/>
      <c r="F21" s="127"/>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7"/>
      <c r="C27" s="127"/>
      <c r="D27" s="127"/>
      <c r="E27" s="127"/>
      <c r="F27" s="127"/>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SlsajL9UfsfnBRzWkkvP/IkB9DysC68Y+qBu2K/IrrOB0YIKyrCenSXvqfrOU4M1Ma0DVzEhA+1anLW4pOOHlg==" saltValue="XXMdBkKdamNntfiWwynVIg=="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137078861.93314728</v>
      </c>
      <c r="D9" s="8" t="s">
        <v>3</v>
      </c>
      <c r="E9" s="1"/>
    </row>
    <row r="10" spans="1:5" ht="17.25" customHeight="1" x14ac:dyDescent="0.25">
      <c r="A10" s="1"/>
      <c r="B10" s="64" t="s">
        <v>35</v>
      </c>
      <c r="C10" s="7">
        <f>'Fane 11.1. Varige tillæg'!C20</f>
        <v>562377.28300000005</v>
      </c>
      <c r="D10" s="8" t="s">
        <v>3</v>
      </c>
      <c r="E10" s="1"/>
    </row>
    <row r="11" spans="1:5" ht="17.25" customHeight="1" x14ac:dyDescent="0.25">
      <c r="A11" s="1"/>
      <c r="B11" s="64" t="s">
        <v>36</v>
      </c>
      <c r="C11" s="9">
        <f>'Fane 11.1. Varige tillæg'!E20</f>
        <v>2436097.7700999998</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11274770.94021883</v>
      </c>
      <c r="D16" s="8" t="s">
        <v>3</v>
      </c>
      <c r="E16" s="1"/>
    </row>
    <row r="17" spans="1:5" ht="17.25" customHeight="1" x14ac:dyDescent="0.25">
      <c r="A17" s="1"/>
      <c r="B17" s="64" t="s">
        <v>10</v>
      </c>
      <c r="C17" s="38">
        <f>-SUM(C9,C10:C16)*'Fane 5. Individuelt eff. krav'!C9</f>
        <v>-1717487.9461606613</v>
      </c>
      <c r="D17" s="8" t="s">
        <v>3</v>
      </c>
      <c r="E17" s="1"/>
    </row>
    <row r="18" spans="1:5" ht="17.25" customHeight="1" x14ac:dyDescent="0.25">
      <c r="A18" s="1"/>
      <c r="B18" s="64" t="s">
        <v>22</v>
      </c>
      <c r="C18" s="38">
        <f>-'Fane 4.1. Gen. krav - drift'!C17</f>
        <v>-878287.03050567105</v>
      </c>
      <c r="D18" s="8" t="s">
        <v>3</v>
      </c>
      <c r="E18" s="1"/>
    </row>
    <row r="19" spans="1:5" ht="17.25" customHeight="1" x14ac:dyDescent="0.25">
      <c r="A19" s="1"/>
      <c r="B19" s="64" t="s">
        <v>23</v>
      </c>
      <c r="C19" s="38">
        <f>-'Fane 4.2. Gen. krav - anlæg'!C17</f>
        <v>0</v>
      </c>
      <c r="D19" s="8" t="s">
        <v>3</v>
      </c>
      <c r="E19" s="43"/>
    </row>
    <row r="20" spans="1:5" ht="17.25" customHeight="1" x14ac:dyDescent="0.25">
      <c r="A20" s="1"/>
      <c r="B20" s="81" t="s">
        <v>21</v>
      </c>
      <c r="C20" s="10">
        <f>SUM(C9:C19)</f>
        <v>148756332.94979978</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13228898.725234857</v>
      </c>
      <c r="D22" s="11" t="s">
        <v>3</v>
      </c>
      <c r="E22" s="1"/>
    </row>
    <row r="23" spans="1:5" ht="15" customHeight="1" x14ac:dyDescent="0.25">
      <c r="A23" s="1"/>
      <c r="B23" s="33" t="s">
        <v>42</v>
      </c>
      <c r="C23" s="28"/>
      <c r="D23" s="19"/>
      <c r="E23" s="1"/>
    </row>
    <row r="24" spans="1:5" ht="15" customHeight="1" x14ac:dyDescent="0.25">
      <c r="A24" s="1"/>
      <c r="B24" s="81"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Engangstillæg'!C26</f>
        <v>3571758.2605659999</v>
      </c>
      <c r="D26" s="8" t="s">
        <v>3</v>
      </c>
      <c r="E26" s="1"/>
    </row>
    <row r="27" spans="1:5" ht="15" customHeight="1" x14ac:dyDescent="0.25">
      <c r="A27" s="1"/>
      <c r="B27" s="64" t="s">
        <v>38</v>
      </c>
      <c r="C27" s="38">
        <f>'Fane 11.2. Engangstillæg'!E26</f>
        <v>0</v>
      </c>
      <c r="D27" s="8" t="s">
        <v>3</v>
      </c>
      <c r="E27" s="1"/>
    </row>
    <row r="28" spans="1:5" ht="15" customHeight="1" x14ac:dyDescent="0.25">
      <c r="A28" s="1"/>
      <c r="B28" s="64" t="s">
        <v>92</v>
      </c>
      <c r="C28" s="38">
        <f>-C26*('Fane 15. Nøgletal'!C21+'Fane 5. Individuelt eff. krav'!C9)</f>
        <v>-111966.16172774961</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3459792.0988382502</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-6024166.6666666698</v>
      </c>
      <c r="D36" s="11" t="s">
        <v>3</v>
      </c>
      <c r="E36" s="1"/>
    </row>
    <row r="37" spans="1:5" x14ac:dyDescent="0.25">
      <c r="A37" s="1"/>
      <c r="B37" s="33" t="s">
        <v>71</v>
      </c>
      <c r="C37" s="45">
        <f>SUM(C34,C32,C24,C30,C22,C20,C36)</f>
        <v>159420857.10720623</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iB/K2HZRzETJ/3PpRNxXn8IBCu5ZP/pDCTa5qMoJb+suri2q1heWLkn6PW5sqp7O6pIYVfBrISzLrZbH+dAY3A==" saltValue="oU6isvCi0h/xJkThYn5wr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119</v>
      </c>
      <c r="C3" s="106"/>
      <c r="D3" s="1"/>
    </row>
    <row r="4" spans="1:4" ht="15" customHeight="1" x14ac:dyDescent="0.25">
      <c r="A4" s="1"/>
      <c r="B4" s="106"/>
      <c r="C4" s="106"/>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UUxBVktwYGOZ+PgAuHSQoViE+L3osZCm6+BLKVkm6g2gSIuHDuN216k+K55yRPgfSxl0Ox3fahya3pUe8PPLvQ==" saltValue="9+89gWC8YVgyGqT0PkzgW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148756332.94979978</v>
      </c>
      <c r="D9" s="8" t="s">
        <v>3</v>
      </c>
      <c r="E9" s="1"/>
    </row>
    <row r="10" spans="1:5" ht="15" customHeight="1" x14ac:dyDescent="0.25">
      <c r="A10" s="1"/>
      <c r="B10" s="26" t="s">
        <v>19</v>
      </c>
      <c r="C10" s="7">
        <f>C9*'Fane 15. Nøgletal'!C10</f>
        <v>9862544.8745717257</v>
      </c>
      <c r="D10" s="8" t="s">
        <v>3</v>
      </c>
      <c r="E10" s="1"/>
    </row>
    <row r="11" spans="1:5" ht="15" customHeight="1" x14ac:dyDescent="0.25">
      <c r="A11" s="1"/>
      <c r="B11" s="26" t="s">
        <v>10</v>
      </c>
      <c r="C11" s="9">
        <f>-SUM(C9:C10)*'Fane 5. Individuelt eff. krav'!C9</f>
        <v>-1799948.5730931871</v>
      </c>
      <c r="D11" s="8" t="s">
        <v>3</v>
      </c>
      <c r="E11" s="1"/>
    </row>
    <row r="12" spans="1:5" ht="15" customHeight="1" x14ac:dyDescent="0.25">
      <c r="A12" s="1"/>
      <c r="B12" s="26" t="s">
        <v>22</v>
      </c>
      <c r="C12" s="9">
        <f>-'Fane 4.1. Gen. krav - drift'!C22</f>
        <v>-917787.11141563312</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155901142.13986272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14105974.710717928</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-6024166.6666666698</v>
      </c>
      <c r="D22" s="11" t="s">
        <v>3</v>
      </c>
      <c r="E22" s="1"/>
    </row>
    <row r="23" spans="1:5" x14ac:dyDescent="0.25">
      <c r="A23" s="1"/>
      <c r="B23" s="33" t="s">
        <v>81</v>
      </c>
      <c r="C23" s="12">
        <f>SUM(C14,C16,C18,C20,C22)</f>
        <v>163982950.18391398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zP+wOwe6UaAkMppbgBvM4hDY6ZSKjUJOIqBEmEoIeVXX7+n9+U2TJURCdjsYLZlmAylRo06MSsH4n4U0cnvyNA==" saltValue="PCsOGcUaq32kbVhPgU+4G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157</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155901142.13986272</v>
      </c>
      <c r="D9" s="8" t="s">
        <v>3</v>
      </c>
      <c r="E9" s="1"/>
    </row>
    <row r="10" spans="1:5" ht="15" customHeight="1" x14ac:dyDescent="0.25">
      <c r="A10" s="1"/>
      <c r="B10" s="26" t="s">
        <v>19</v>
      </c>
      <c r="C10" s="7">
        <f>SUM(C9:C9)*'Fane 15. Nøgletal'!C10</f>
        <v>10336245.723872898</v>
      </c>
      <c r="D10" s="8" t="s">
        <v>3</v>
      </c>
      <c r="E10" s="1"/>
    </row>
    <row r="11" spans="1:5" ht="15" customHeight="1" x14ac:dyDescent="0.25">
      <c r="A11" s="1"/>
      <c r="B11" s="26" t="s">
        <v>10</v>
      </c>
      <c r="C11" s="9">
        <f>-SUM(C9:C10)*'Fane 5. Individuelt eff. krav'!C9</f>
        <v>-1886400.6175316365</v>
      </c>
      <c r="D11" s="8" t="s">
        <v>3</v>
      </c>
      <c r="E11" s="1"/>
    </row>
    <row r="12" spans="1:5" ht="15" customHeight="1" x14ac:dyDescent="0.25">
      <c r="A12" s="1"/>
      <c r="B12" s="26" t="s">
        <v>22</v>
      </c>
      <c r="C12" s="9">
        <f>-'Fane 4.1. Gen. krav - drift'!C27</f>
        <v>-959063.66896443977</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163391923.57723954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15041200.834038526</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-6024166.6666666698</v>
      </c>
      <c r="D22" s="11" t="s">
        <v>3</v>
      </c>
      <c r="E22" s="1"/>
    </row>
    <row r="23" spans="1:5" x14ac:dyDescent="0.25">
      <c r="A23" s="1"/>
      <c r="B23" s="33" t="s">
        <v>130</v>
      </c>
      <c r="C23" s="12">
        <f>SUM(C14,C16,C18,C20,C22)</f>
        <v>172408957.74461141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J/kh/uBUP7Ytgv5qjgJufJf6UiW4gUHVwenWJOkMqzf3tTMe97zVjVUAZDEPVkzZ6y3CF+Vy4TwfREYOKDjN5g==" saltValue="mxRyAHdwLJYnin7dvdp69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158</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163391923.57723954</v>
      </c>
      <c r="D9" s="8" t="s">
        <v>3</v>
      </c>
      <c r="E9" s="1"/>
    </row>
    <row r="10" spans="1:5" ht="15" customHeight="1" x14ac:dyDescent="0.25">
      <c r="A10" s="1"/>
      <c r="B10" s="26" t="s">
        <v>19</v>
      </c>
      <c r="C10" s="7">
        <f>SUM(C9:C9)*'Fane 15. Nøgletal'!C10</f>
        <v>10832884.533170981</v>
      </c>
      <c r="D10" s="8" t="s">
        <v>3</v>
      </c>
      <c r="E10" s="1"/>
    </row>
    <row r="11" spans="1:5" ht="15" customHeight="1" x14ac:dyDescent="0.25">
      <c r="A11" s="1"/>
      <c r="B11" s="26" t="s">
        <v>10</v>
      </c>
      <c r="C11" s="9">
        <f>-SUM(C9:C10)*'Fane 5. Individuelt eff. krav'!C9</f>
        <v>-1977038.9190559781</v>
      </c>
      <c r="D11" s="8" t="s">
        <v>3</v>
      </c>
      <c r="E11" s="1"/>
    </row>
    <row r="12" spans="1:5" ht="15" customHeight="1" x14ac:dyDescent="0.25">
      <c r="A12" s="1"/>
      <c r="B12" s="26" t="s">
        <v>22</v>
      </c>
      <c r="C12" s="9">
        <f>-'Fane 4.1. Gen. krav - drift'!C32</f>
        <v>-1002196.5984124466</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171245572.59294209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16038432.449335283</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-6024166.6666666698</v>
      </c>
      <c r="D20" s="11" t="s">
        <v>3</v>
      </c>
      <c r="E20" s="1"/>
    </row>
    <row r="21" spans="1:5" x14ac:dyDescent="0.25">
      <c r="A21" s="1"/>
      <c r="B21" s="33" t="s">
        <v>160</v>
      </c>
      <c r="C21" s="12">
        <f>SUM(C14,C16,C18,C20)</f>
        <v>181259838.37561071</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L/N6NiueDs7/Ew74je/KaYEcWlruKayzWDw3QMLVty+hOanUBPYW5CV82r8ZYPLXO3uKZWg6mbSuEI8xsa8AZw==" saltValue="mvtRpYJogIu1jMyN1qzcL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6" t="s">
        <v>161</v>
      </c>
      <c r="C3" s="106"/>
      <c r="D3" s="106"/>
      <c r="E3" s="1"/>
    </row>
    <row r="4" spans="1:5" ht="15" customHeight="1" x14ac:dyDescent="0.25">
      <c r="A4" s="1"/>
      <c r="B4" s="106"/>
      <c r="C4" s="106"/>
      <c r="D4" s="106"/>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123031217.10862687</v>
      </c>
      <c r="D9" s="8" t="s">
        <v>3</v>
      </c>
      <c r="E9" s="1"/>
    </row>
    <row r="10" spans="1:5" ht="15" customHeight="1" x14ac:dyDescent="0.25">
      <c r="A10" s="1"/>
      <c r="B10" s="64" t="s">
        <v>35</v>
      </c>
      <c r="C10" s="7">
        <v>1628119.2815999999</v>
      </c>
      <c r="D10" s="8" t="s">
        <v>3</v>
      </c>
      <c r="E10" s="1"/>
    </row>
    <row r="11" spans="1:5" ht="15" customHeight="1" x14ac:dyDescent="0.25">
      <c r="A11" s="1"/>
      <c r="B11" s="64" t="s">
        <v>36</v>
      </c>
      <c r="C11" s="9">
        <v>4392765.6919999998</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10427409.848243931</v>
      </c>
      <c r="D16" s="8" t="s">
        <v>3</v>
      </c>
      <c r="E16" s="1"/>
    </row>
    <row r="17" spans="1:5" ht="15" customHeight="1" x14ac:dyDescent="0.25">
      <c r="A17" s="1"/>
      <c r="B17" s="64" t="s">
        <v>10</v>
      </c>
      <c r="C17" s="38">
        <v>-1582762.101954614</v>
      </c>
      <c r="D17" s="8" t="s">
        <v>3</v>
      </c>
      <c r="E17" s="1"/>
    </row>
    <row r="18" spans="1:5" ht="15" customHeight="1" x14ac:dyDescent="0.25">
      <c r="A18" s="1"/>
      <c r="B18" s="64" t="s">
        <v>22</v>
      </c>
      <c r="C18" s="38">
        <v>-817887.89536890003</v>
      </c>
      <c r="D18" s="8" t="s">
        <v>3</v>
      </c>
      <c r="E18" s="1"/>
    </row>
    <row r="19" spans="1:5" ht="15" customHeight="1" x14ac:dyDescent="0.25">
      <c r="A19" s="1"/>
      <c r="B19" s="64" t="s">
        <v>23</v>
      </c>
      <c r="C19" s="38">
        <v>0</v>
      </c>
      <c r="D19" s="8" t="s">
        <v>3</v>
      </c>
      <c r="E19" s="43"/>
    </row>
    <row r="20" spans="1:5" ht="15" customHeight="1" x14ac:dyDescent="0.25">
      <c r="A20" s="1"/>
      <c r="B20" s="81" t="s">
        <v>21</v>
      </c>
      <c r="C20" s="10">
        <v>137078861.93314728</v>
      </c>
      <c r="D20" s="11" t="s">
        <v>3</v>
      </c>
      <c r="E20" s="1"/>
    </row>
    <row r="21" spans="1:5" ht="15" customHeight="1" x14ac:dyDescent="0.25">
      <c r="A21" s="1"/>
      <c r="B21" s="33" t="s">
        <v>12</v>
      </c>
      <c r="C21" s="28"/>
      <c r="D21" s="19"/>
      <c r="E21" s="1"/>
    </row>
    <row r="22" spans="1:5" ht="15" customHeight="1" x14ac:dyDescent="0.25">
      <c r="A22" s="1"/>
      <c r="B22" s="31" t="s">
        <v>12</v>
      </c>
      <c r="C22" s="10">
        <v>13641468.16873792</v>
      </c>
      <c r="D22" s="11" t="s">
        <v>3</v>
      </c>
      <c r="E22" s="1"/>
    </row>
    <row r="23" spans="1:5" ht="15" customHeight="1" x14ac:dyDescent="0.25">
      <c r="A23" s="1"/>
      <c r="B23" s="33" t="s">
        <v>42</v>
      </c>
      <c r="C23" s="28"/>
      <c r="D23" s="19"/>
      <c r="E23" s="1"/>
    </row>
    <row r="24" spans="1:5" ht="15" customHeight="1" x14ac:dyDescent="0.25">
      <c r="A24" s="1"/>
      <c r="B24" s="81" t="s">
        <v>42</v>
      </c>
      <c r="C24" s="10">
        <v>0</v>
      </c>
      <c r="D24" s="11" t="s">
        <v>3</v>
      </c>
      <c r="E24" s="1"/>
    </row>
    <row r="25" spans="1:5" x14ac:dyDescent="0.25">
      <c r="A25" s="1"/>
      <c r="B25" s="41" t="s">
        <v>41</v>
      </c>
      <c r="C25" s="39"/>
      <c r="D25" s="40"/>
      <c r="E25" s="1"/>
    </row>
    <row r="26" spans="1:5" ht="15" customHeight="1" x14ac:dyDescent="0.25">
      <c r="A26" s="1"/>
      <c r="B26" s="64" t="s">
        <v>89</v>
      </c>
      <c r="C26" s="38">
        <v>3577980.3605772797</v>
      </c>
      <c r="D26" s="8" t="s">
        <v>3</v>
      </c>
      <c r="E26" s="1"/>
    </row>
    <row r="27" spans="1:5" ht="15" customHeight="1" x14ac:dyDescent="0.25">
      <c r="A27" s="1"/>
      <c r="B27" s="64" t="s">
        <v>38</v>
      </c>
      <c r="C27" s="38">
        <v>0</v>
      </c>
      <c r="D27" s="8" t="s">
        <v>3</v>
      </c>
      <c r="E27" s="1"/>
    </row>
    <row r="28" spans="1:5" ht="15" customHeight="1" x14ac:dyDescent="0.25">
      <c r="A28" s="1"/>
      <c r="B28" s="64" t="s">
        <v>92</v>
      </c>
      <c r="C28" s="38">
        <v>-112161.20982600427</v>
      </c>
      <c r="D28" s="8" t="s">
        <v>3</v>
      </c>
      <c r="E28" s="1"/>
    </row>
    <row r="29" spans="1:5" ht="15" customHeight="1" x14ac:dyDescent="0.25">
      <c r="A29" s="1"/>
      <c r="B29" s="64" t="s">
        <v>93</v>
      </c>
      <c r="C29" s="38">
        <v>0</v>
      </c>
      <c r="D29" s="8" t="s">
        <v>3</v>
      </c>
      <c r="E29" s="1"/>
    </row>
    <row r="30" spans="1:5" ht="15" customHeight="1" x14ac:dyDescent="0.25">
      <c r="A30" s="1"/>
      <c r="B30" s="67" t="s">
        <v>43</v>
      </c>
      <c r="C30" s="10">
        <v>3465819.1507512755</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-6024166.6666666698</v>
      </c>
      <c r="D36" s="11" t="s">
        <v>3</v>
      </c>
      <c r="E36" s="1"/>
    </row>
    <row r="37" spans="1:5" x14ac:dyDescent="0.25">
      <c r="A37" s="1"/>
      <c r="B37" s="33" t="s">
        <v>65</v>
      </c>
      <c r="C37" s="45">
        <v>148161982.58596984</v>
      </c>
      <c r="D37" s="30" t="s">
        <v>3</v>
      </c>
      <c r="E37" s="1"/>
    </row>
    <row r="38" spans="1:5" ht="30" customHeight="1" x14ac:dyDescent="0.25">
      <c r="A38" s="1"/>
      <c r="B38" s="107" t="s">
        <v>223</v>
      </c>
      <c r="C38" s="107"/>
      <c r="D38" s="107"/>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MDYnccStevFQcc4ht6f5o/5IrB5fs8X73h40DE5fCN7WFMZQB6bIiAW46y9JEo8G/67YIsG+k0lZpsqCEeoF0Q==" saltValue="TAmpQ6KKTjALH5ZKfbOvMA=="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6" t="s">
        <v>56</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4"/>
      <c r="C6" s="74"/>
      <c r="D6" s="74"/>
      <c r="E6" s="1"/>
    </row>
    <row r="7" spans="1:5" x14ac:dyDescent="0.25">
      <c r="A7" s="1"/>
      <c r="B7" s="1"/>
      <c r="C7" s="1"/>
      <c r="D7" s="1"/>
      <c r="E7" s="1"/>
    </row>
    <row r="8" spans="1:5" x14ac:dyDescent="0.25">
      <c r="A8" s="1"/>
      <c r="B8" s="108" t="s">
        <v>123</v>
      </c>
      <c r="C8" s="109"/>
      <c r="D8" s="110"/>
      <c r="E8" s="1"/>
    </row>
    <row r="9" spans="1:5" x14ac:dyDescent="0.25">
      <c r="A9" s="1"/>
      <c r="B9" s="65" t="s">
        <v>88</v>
      </c>
      <c r="C9" s="23">
        <v>39134723.448891722</v>
      </c>
      <c r="D9" s="14" t="s">
        <v>3</v>
      </c>
      <c r="E9" s="1"/>
    </row>
    <row r="10" spans="1:5" x14ac:dyDescent="0.25">
      <c r="A10" s="1"/>
      <c r="B10" s="65" t="s">
        <v>125</v>
      </c>
      <c r="C10" s="23">
        <f>('Fane 3. Omkostninger i ØR2024'!C10+'Fane 3. Omkostninger i ØR2024'!C12+'Fane 3. Omkostninger i ØR2024'!C14)*(1+'Fane 15. Nøgletal'!C9)</f>
        <v>1759671.3195532798</v>
      </c>
      <c r="D10" s="14" t="s">
        <v>3</v>
      </c>
      <c r="E10" s="1"/>
    </row>
    <row r="11" spans="1:5" x14ac:dyDescent="0.25">
      <c r="A11" s="1"/>
      <c r="B11" s="65" t="s">
        <v>131</v>
      </c>
      <c r="C11" s="23">
        <f>C9*'Fane 15. Nøgletal'!C21+C10*'Fane 15. Nøgletal'!C21</f>
        <v>817887.89536890003</v>
      </c>
      <c r="D11" s="14" t="s">
        <v>3</v>
      </c>
      <c r="E11" s="1"/>
    </row>
    <row r="12" spans="1:5" x14ac:dyDescent="0.25">
      <c r="A12" s="1"/>
      <c r="B12" s="33"/>
      <c r="C12" s="28"/>
      <c r="D12" s="19"/>
      <c r="E12" s="1"/>
    </row>
    <row r="13" spans="1:5" x14ac:dyDescent="0.25">
      <c r="A13" s="1"/>
      <c r="B13" s="1"/>
      <c r="C13" s="1"/>
      <c r="D13" s="1"/>
      <c r="E13" s="1"/>
    </row>
    <row r="14" spans="1:5" x14ac:dyDescent="0.25">
      <c r="A14" s="1"/>
      <c r="B14" s="108" t="s">
        <v>124</v>
      </c>
      <c r="C14" s="109"/>
      <c r="D14" s="110"/>
      <c r="E14" s="1"/>
    </row>
    <row r="15" spans="1:5" x14ac:dyDescent="0.25">
      <c r="A15" s="1"/>
      <c r="B15" s="65" t="s">
        <v>133</v>
      </c>
      <c r="C15" s="23">
        <f>(C9+C10-C11)*(1+'Fane 15. Nøgletal'!C9)</f>
        <v>43314688.628420651</v>
      </c>
      <c r="D15" s="14" t="s">
        <v>3</v>
      </c>
      <c r="E15" s="1"/>
    </row>
    <row r="16" spans="1:5" x14ac:dyDescent="0.25">
      <c r="A16" s="1"/>
      <c r="B16" s="65" t="s">
        <v>184</v>
      </c>
      <c r="C16" s="23">
        <f>('Fane 2.1. Økonomisk ramme 2025'!C10+'Fane 2.1. Økonomisk ramme 2025'!C12+'Fane 2.1. Økonomisk ramme 2025'!C14)*(1+'Fane 15. Nøgletal'!C10)</f>
        <v>599662.89686290012</v>
      </c>
      <c r="D16" s="14" t="s">
        <v>3</v>
      </c>
      <c r="E16" s="1"/>
    </row>
    <row r="17" spans="1:5" x14ac:dyDescent="0.25">
      <c r="A17" s="1"/>
      <c r="B17" s="65" t="s">
        <v>132</v>
      </c>
      <c r="C17" s="23">
        <f>C15*'Fane 15. Nøgletal'!C21+C16*'Fane 15. Nøgletal'!C21</f>
        <v>878287.03050567105</v>
      </c>
      <c r="D17" s="14" t="s">
        <v>3</v>
      </c>
      <c r="E17" s="1"/>
    </row>
    <row r="18" spans="1:5" x14ac:dyDescent="0.25">
      <c r="A18" s="1"/>
      <c r="B18" s="33"/>
      <c r="C18" s="28"/>
      <c r="D18" s="19"/>
      <c r="E18" s="1"/>
    </row>
    <row r="19" spans="1:5" x14ac:dyDescent="0.25">
      <c r="A19" s="1"/>
      <c r="B19" s="1"/>
      <c r="C19" s="63"/>
      <c r="D19" s="1"/>
      <c r="E19" s="1"/>
    </row>
    <row r="20" spans="1:5" x14ac:dyDescent="0.25">
      <c r="A20" s="1"/>
      <c r="B20" s="108" t="s">
        <v>145</v>
      </c>
      <c r="C20" s="109"/>
      <c r="D20" s="110"/>
      <c r="E20" s="1"/>
    </row>
    <row r="21" spans="1:5" x14ac:dyDescent="0.25">
      <c r="A21" s="1"/>
      <c r="B21" s="65" t="s">
        <v>189</v>
      </c>
      <c r="C21" s="23">
        <f>(C15+C16-C17)*(1+'Fane 15. Nøgletal'!C10)</f>
        <v>45889355.570781656</v>
      </c>
      <c r="D21" s="14" t="s">
        <v>3</v>
      </c>
      <c r="E21" s="1"/>
    </row>
    <row r="22" spans="1:5" x14ac:dyDescent="0.25">
      <c r="A22" s="1"/>
      <c r="B22" s="65" t="s">
        <v>196</v>
      </c>
      <c r="C22" s="23">
        <f>C21*'Fane 15. Nøgletal'!C21</f>
        <v>917787.11141563312</v>
      </c>
      <c r="D22" s="14" t="s">
        <v>3</v>
      </c>
      <c r="E22" s="1"/>
    </row>
    <row r="23" spans="1:5" x14ac:dyDescent="0.25">
      <c r="A23" s="1"/>
      <c r="B23" s="33"/>
      <c r="C23" s="28"/>
      <c r="D23" s="19"/>
      <c r="E23" s="1"/>
    </row>
    <row r="24" spans="1:5" x14ac:dyDescent="0.25">
      <c r="A24" s="1"/>
      <c r="B24" s="1"/>
      <c r="C24" s="1"/>
      <c r="D24" s="1"/>
      <c r="E24" s="1"/>
    </row>
    <row r="25" spans="1:5" x14ac:dyDescent="0.25">
      <c r="A25" s="1"/>
      <c r="B25" s="108" t="s">
        <v>187</v>
      </c>
      <c r="C25" s="109"/>
      <c r="D25" s="110"/>
      <c r="E25" s="1"/>
    </row>
    <row r="26" spans="1:5" x14ac:dyDescent="0.25">
      <c r="A26" s="1"/>
      <c r="B26" s="65" t="s">
        <v>190</v>
      </c>
      <c r="C26" s="23">
        <f>(C21-C22)*(1+'Fane 15. Nøgletal'!C10)</f>
        <v>47953183.448221989</v>
      </c>
      <c r="D26" s="14" t="s">
        <v>3</v>
      </c>
      <c r="E26" s="1"/>
    </row>
    <row r="27" spans="1:5" x14ac:dyDescent="0.25">
      <c r="A27" s="1"/>
      <c r="B27" s="65" t="s">
        <v>194</v>
      </c>
      <c r="C27" s="23">
        <f>C26*'Fane 15. Nøgletal'!C21</f>
        <v>959063.66896443977</v>
      </c>
      <c r="D27" s="14" t="s">
        <v>3</v>
      </c>
      <c r="E27" s="1"/>
    </row>
    <row r="28" spans="1:5" x14ac:dyDescent="0.25">
      <c r="A28" s="1"/>
      <c r="B28" s="33"/>
      <c r="C28" s="28"/>
      <c r="D28" s="19"/>
      <c r="E28" s="1"/>
    </row>
    <row r="29" spans="1:5" x14ac:dyDescent="0.25">
      <c r="A29" s="1"/>
      <c r="B29" s="1"/>
      <c r="C29" s="1"/>
      <c r="D29" s="1"/>
      <c r="E29" s="1"/>
    </row>
    <row r="30" spans="1:5" x14ac:dyDescent="0.25">
      <c r="A30" s="1"/>
      <c r="B30" s="108" t="s">
        <v>188</v>
      </c>
      <c r="C30" s="109"/>
      <c r="D30" s="110"/>
      <c r="E30" s="1"/>
    </row>
    <row r="31" spans="1:5" x14ac:dyDescent="0.25">
      <c r="A31" s="1"/>
      <c r="B31" s="65" t="s">
        <v>191</v>
      </c>
      <c r="C31" s="23">
        <f>(C26-C27)*(1+'Fane 15. Nøgletal'!C10)</f>
        <v>50109829.920622326</v>
      </c>
      <c r="D31" s="14" t="s">
        <v>3</v>
      </c>
      <c r="E31" s="1"/>
    </row>
    <row r="32" spans="1:5" x14ac:dyDescent="0.25">
      <c r="A32" s="1"/>
      <c r="B32" s="65" t="s">
        <v>195</v>
      </c>
      <c r="C32" s="23">
        <f>C31*'Fane 15. Nøgletal'!C21</f>
        <v>1002196.5984124466</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kKDcxDGSMqeW55vSKyBeFJTkrkAaoIskn5ShzQn68Am16GKM5tqCyxLudnWhhO2c90uAxq3I1RtGNA2T4laL1w==" saltValue="K4tNDsDj9Q734iHLYVsDjg=="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9"/>
      <c r="C6" s="69"/>
      <c r="D6" s="69"/>
      <c r="E6" s="1"/>
    </row>
    <row r="7" spans="1:5" x14ac:dyDescent="0.25">
      <c r="A7" s="1"/>
      <c r="B7" s="1"/>
      <c r="C7" s="1"/>
      <c r="D7" s="1"/>
      <c r="E7" s="1"/>
    </row>
    <row r="8" spans="1:5" x14ac:dyDescent="0.25">
      <c r="A8" s="1"/>
      <c r="B8" s="108" t="s">
        <v>147</v>
      </c>
      <c r="C8" s="109"/>
      <c r="D8" s="110"/>
      <c r="E8" s="1"/>
    </row>
    <row r="9" spans="1:5" x14ac:dyDescent="0.25">
      <c r="A9" s="1"/>
      <c r="B9" s="65" t="s">
        <v>134</v>
      </c>
      <c r="C9" s="23">
        <v>110903961.11444248</v>
      </c>
      <c r="D9" s="14" t="s">
        <v>3</v>
      </c>
      <c r="E9" s="1"/>
    </row>
    <row r="10" spans="1:5" x14ac:dyDescent="0.25">
      <c r="A10" s="1"/>
      <c r="B10" s="65" t="s">
        <v>126</v>
      </c>
      <c r="C10" s="23">
        <f>('Fane 3. Omkostninger i ØR2024'!C11+'Fane 3. Omkostninger i ØR2024'!C13+'Fane 3. Omkostninger i ØR2024'!C15)*(1+'Fane 15. Nøgletal'!C9)</f>
        <v>4747701.1599135995</v>
      </c>
      <c r="D10" s="14" t="s">
        <v>3</v>
      </c>
      <c r="E10" s="1"/>
    </row>
    <row r="11" spans="1:5" x14ac:dyDescent="0.25">
      <c r="A11" s="1"/>
      <c r="B11" s="65" t="s">
        <v>135</v>
      </c>
      <c r="C11" s="82">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8" t="s">
        <v>146</v>
      </c>
      <c r="C14" s="109"/>
      <c r="D14" s="110"/>
      <c r="E14" s="1"/>
    </row>
    <row r="15" spans="1:5" x14ac:dyDescent="0.25">
      <c r="A15" s="1"/>
      <c r="B15" s="65" t="s">
        <v>136</v>
      </c>
      <c r="C15" s="23">
        <f>(C9+C10-C11)*(1+'Fane 15. Nøgletal'!C9)</f>
        <v>124996316.58612405</v>
      </c>
      <c r="D15" s="14" t="s">
        <v>3</v>
      </c>
      <c r="E15" s="1"/>
    </row>
    <row r="16" spans="1:5" x14ac:dyDescent="0.25">
      <c r="A16" s="1"/>
      <c r="B16" s="65" t="s">
        <v>185</v>
      </c>
      <c r="C16" s="23">
        <f>('Fane 2.1. Økonomisk ramme 2025'!C11+'Fane 2.1. Økonomisk ramme 2025'!C13+'Fane 2.1. Økonomisk ramme 2025'!C15)*(1+'Fane 15. Nøgletal'!C10)</f>
        <v>2597611.05225763</v>
      </c>
      <c r="D16" s="14" t="s">
        <v>3</v>
      </c>
      <c r="E16" s="1"/>
    </row>
    <row r="17" spans="1:5" x14ac:dyDescent="0.25">
      <c r="A17" s="1"/>
      <c r="B17" s="65" t="s">
        <v>137</v>
      </c>
      <c r="C17" s="82">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8" t="s">
        <v>82</v>
      </c>
      <c r="C20" s="109"/>
      <c r="D20" s="110"/>
      <c r="E20" s="1"/>
    </row>
    <row r="21" spans="1:5" x14ac:dyDescent="0.25">
      <c r="A21" s="1"/>
      <c r="B21" s="65" t="s">
        <v>192</v>
      </c>
      <c r="C21" s="23">
        <f>(C15+C16-C17)*(1+'Fane 15. Nøgletal'!C10)</f>
        <v>136053405.04080638</v>
      </c>
      <c r="D21" s="14" t="s">
        <v>3</v>
      </c>
      <c r="E21" s="1"/>
    </row>
    <row r="22" spans="1:5" x14ac:dyDescent="0.25">
      <c r="A22" s="1"/>
      <c r="B22" s="65" t="s">
        <v>197</v>
      </c>
      <c r="C22" s="82">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8" t="s">
        <v>138</v>
      </c>
      <c r="C25" s="109"/>
      <c r="D25" s="110"/>
      <c r="E25" s="1"/>
    </row>
    <row r="26" spans="1:5" x14ac:dyDescent="0.25">
      <c r="A26" s="1"/>
      <c r="B26" s="65" t="s">
        <v>193</v>
      </c>
      <c r="C26" s="23">
        <f>(C21-C22)*(1+'Fane 15. Nøgletal'!C10)</f>
        <v>145073745.79501185</v>
      </c>
      <c r="D26" s="14" t="s">
        <v>3</v>
      </c>
      <c r="E26" s="1"/>
    </row>
    <row r="27" spans="1:5" x14ac:dyDescent="0.25">
      <c r="A27" s="1"/>
      <c r="B27" s="65" t="s">
        <v>198</v>
      </c>
      <c r="C27" s="82">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8" t="s">
        <v>163</v>
      </c>
      <c r="C30" s="109"/>
      <c r="D30" s="110"/>
      <c r="E30" s="1"/>
    </row>
    <row r="31" spans="1:5" x14ac:dyDescent="0.25">
      <c r="A31" s="1"/>
      <c r="B31" s="65" t="s">
        <v>200</v>
      </c>
      <c r="C31" s="23">
        <f>(C26-C27)*(1+'Fane 15. Nøgletal'!C10)</f>
        <v>154692135.14122114</v>
      </c>
      <c r="D31" s="14" t="s">
        <v>3</v>
      </c>
      <c r="E31" s="1"/>
    </row>
    <row r="32" spans="1:5" x14ac:dyDescent="0.25">
      <c r="A32" s="1"/>
      <c r="B32" s="65" t="s">
        <v>199</v>
      </c>
      <c r="C32" s="82">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QY0KC9Hqqgfgu4rdkqJ0czUZx5P+c1ZwzpVmpSH3i5W9KKsiMC70wFj/8nXSv26R6BPmbORMbfLih8e8yMGbKA==" saltValue="4uvysGeq6u+sewtD4Zqqug=="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5" t="s">
        <v>164</v>
      </c>
      <c r="C9" s="22">
        <v>1.13476314911656E-2</v>
      </c>
      <c r="D9" s="1"/>
    </row>
    <row r="10" spans="1:4" x14ac:dyDescent="0.25">
      <c r="A10" s="1"/>
      <c r="B10" s="33"/>
      <c r="C10" s="19"/>
      <c r="D10" s="1"/>
    </row>
    <row r="11" spans="1:4" x14ac:dyDescent="0.25">
      <c r="A11" s="1"/>
      <c r="B11" s="112" t="s">
        <v>218</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AAVPuaTOPm5Bo+nNh9iKGU5qm4VNKY96k27GWFHAhwp5T1p5O9HrXi0CMHEP8BJHReLkul2mcHWuT9UjCWCEYA==" saltValue="ZRjMvI8cvyESwpwCkKViow=="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2024-05-06T07:45:39Z</cp:lastPrinted>
  <dcterms:created xsi:type="dcterms:W3CDTF">2016-06-02T08:51:18Z</dcterms:created>
  <dcterms:modified xsi:type="dcterms:W3CDTF">2024-08-16T10:50:56Z</dcterms:modified>
</cp:coreProperties>
</file>