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Stevns Spildevand AS (S089)\ØR2024\"/>
    </mc:Choice>
  </mc:AlternateContent>
  <xr:revisionPtr revIDLastSave="0" documentId="13_ncr:1_{517E8232-44C0-48AA-BD91-D23B979B7D8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<sst xmlns="http://schemas.openxmlformats.org/spreadsheetml/2006/main" count="662" uniqueCount="296">
  <si>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</si>
  <si>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</si>
  <si>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</si>
  <si>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</si>
  <si>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</si>
  <si>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</si>
  <si>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</si>
  <si>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</si>
  <si>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</si>
  <si>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</si>
  <si>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</si>
  <si>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</si>
  <si>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</si>
  <si>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</si>
  <si>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</si>
  <si>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</si>
  <si>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</si>
  <si>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</si>
  <si>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</si>
  <si>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</si>
  <si>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</si>
  <si>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</si>
  <si>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</si>
  <si>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</si>
  <si>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</si>
  <si>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</si>
  <si>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</si>
  <si>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</si>
  <si>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</si>
  <si>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</si>
  <si>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</si>
  <si>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</si>
  <si>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</si>
  <si>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</si>
  <si>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</si>
  <si>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</si>
  <si>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</si>
  <si>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</si>
  <si>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</si>
  <si>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</si>
  <si>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</si>
  <si>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</si>
  <si>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</si>
  <si>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</si>
  <si>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</si>
  <si>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</si>
  <si>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</si>
  <si>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</si>
  <si>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</si>
  <si>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</si>
  <si>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</si>
  <si>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</si>
  <si>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</si>
  <si>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</si>
  <si>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</si>
  <si>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</si>
  <si>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</si>
  <si>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</si>
  <si>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</si>
  <si>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</si>
  <si>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</si>
  <si>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</si>
  <si>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</si>
  <si>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</si>
  <si>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</si>
  <si>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</si>
  <si>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</si>
  <si>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</si>
  <si>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</si>
  <si>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</si>
  <si>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</si>
  <si>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</si>
  <si>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</si>
  <si>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</si>
  <si>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</si>
  <si>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</si>
  <si>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</si>
  <si>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</si>
  <si>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</si>
  <si>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</si>
  <si>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</si>
  <si>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</si>
  <si>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</si>
  <si>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</si>
  <si>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</si>
  <si>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</si>
  <si>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</si>
  <si>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</si>
  <si>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</si>
  <si>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</si>
  <si>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</si>
  <si>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</si>
  <si>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</si>
  <si>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</si>
  <si>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</si>
  <si>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</si>
  <si>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</si>
  <si>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</si>
  <si>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</si>
  <si>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</si>
  <si>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</si>
  <si>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</si>
  <si>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</si>
  <si>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</si>
  <si>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</si>
  <si>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</si>
  <si>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</si>
  <si>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</si>
  <si>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</si>
  <si>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</si>
  <si>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</si>
  <si>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</si>
  <si>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</si>
  <si>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</si>
  <si>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</si>
  <si>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</si>
  <si>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</si>
  <si>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</si>
  <si>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</si>
  <si>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</si>
  <si>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</si>
  <si>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</si>
  <si>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</si>
  <si>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</si>
  <si>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</si>
  <si>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</si>
  <si>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</si>
  <si>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</si>
  <si>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</si>
  <si>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</si>
  <si>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</si>
  <si>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</si>
  <si>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</si>
  <si>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</si>
  <si>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</si>
  <si>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</si>
  <si>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</si>
  <si>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</si>
  <si>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</si>
  <si>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</si>
  <si>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</si>
  <si>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</si>
  <si>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</si>
  <si>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</si>
  <si>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</si>
  <si>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</si>
  <si>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</si>
  <si>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</si>
  <si>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</si>
  <si>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</si>
  <si>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</si>
  <si>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</si>
  <si>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</si>
  <si>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</si>
  <si>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</si>
  <si>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</si>
  <si>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</si>
  <si>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</si>
  <si>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</si>
  <si>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</si>
  <si>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</si>
  <si>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</si>
  <si>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</si>
  <si>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</si>
  <si>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</si>
  <si>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</si>
  <si>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</si>
  <si>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</si>
  <si>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</si>
  <si>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</si>
  <si>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</si>
  <si>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</si>
  <si>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</si>
  <si>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</si>
  <si>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</si>
  <si>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</si>
  <si>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</si>
  <si>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</si>
  <si>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</si>
  <si>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</si>
  <si>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</si>
  <si>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</si>
  <si>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</si>
  <si>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</si>
  <si>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</si>
  <si>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</si>
  <si>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</si>
  <si>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</si>
  <si>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</si>
  <si>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</si>
  <si>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</si>
  <si>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</si>
  <si>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</si>
  <si>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</si>
  <si>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</si>
  <si>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</si>
  <si>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</si>
  <si>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</si>
  <si>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</si>
  <si>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</si>
  <si>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</si>
  <si>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</si>
  <si>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</si>
  <si>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</si>
  <si>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</si>
  <si>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</si>
  <si>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</si>
  <si>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</si>
  <si>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</si>
  <si>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</si>
  <si>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</si>
  <si>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</si>
  <si>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</si>
  <si>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</si>
  <si>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</si>
  <si>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</si>
  <si>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</si>
  <si>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</si>
  <si>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</si>
  <si>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</si>
  <si>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</si>
  <si>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</si>
  <si>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</si>
  <si>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</si>
  <si>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</si>
  <si>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</si>
  <si>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</si>
  <si>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</si>
  <si>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</si>
  <si>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</si>
  <si>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</si>
  <si>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</si>
  <si>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</si>
  <si>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</si>
  <si>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</si>
  <si>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</si>
  <si>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</si>
  <si>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</si>
  <si>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</si>
  <si>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</si>
  <si>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</si>
  <si>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</si>
  <si>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</si>
  <si>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</si>
  <si>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</si>
  <si>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</si>
  <si>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</si>
  <si>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</si>
  <si>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</si>
  <si>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</si>
  <si>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</si>
  <si>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</si>
  <si>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</si>
  <si>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</si>
  <si>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</si>
  <si>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</si>
  <si>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</si>
  <si>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</si>
  <si>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</si>
  <si>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</si>
  <si>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</si>
  <si>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</si>
  <si>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</si>
  <si>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</si>
  <si>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</si>
  <si>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</si>
  <si>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</si>
  <si>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</si>
  <si>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</si>
  <si>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</si>
  <si>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</si>
  <si>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</si>
  <si>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Ejendomsskatter</t>
  </si>
  <si>
    <t>Spildevandsafgift</t>
  </si>
  <si>
    <t>Afgift til Forsyningssekretariatet</t>
  </si>
  <si>
    <t>Køb af ydelser og produkter fra andre vandselskaber reguleret af vandsektorloven</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</si>
  <si>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</si>
  <si>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</si>
  <si>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</si>
  <si>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</si>
  <si>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</si>
  <si>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</si>
  <si>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</si>
  <si>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</si>
  <si>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</si>
  <si>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</si>
  <si>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</si>
  <si>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</si>
  <si>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Strøby Egede (et område 3 projekter)</t>
  </si>
  <si>
    <t>Besøgscenter Boesdal Kalkbrud</t>
  </si>
  <si>
    <t>Bobakken Hårlev</t>
  </si>
  <si>
    <t>Nicolinelunden etape 3</t>
  </si>
  <si>
    <t>Ny Stevns Hal ST Heddinge</t>
  </si>
  <si>
    <t>Justering af den økonomiske ramme</t>
  </si>
  <si>
    <t>Justering af den økonomiske ramme for stigende el-omkostninger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</si>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</sst>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3" t="s">
        <v>252</v>
      </c>
      <c r="E8" s="103"/>
      <c r="F8" s="103"/>
      <c r="G8" s="10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2" t="s">
        <v>5</v>
      </c>
      <c r="E11" s="102"/>
      <c r="F11" s="102"/>
      <c r="G11" s="102"/>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95" t="s">
        <v>197</v>
      </c>
      <c r="E14" s="96"/>
      <c r="F14" s="96"/>
      <c r="G14" s="97"/>
      <c r="H14" s="5"/>
      <c r="I14" s="1"/>
    </row>
    <row r="15" spans="1:9" x14ac:dyDescent="0.25">
      <c r="A15" s="1"/>
      <c r="B15" s="1"/>
      <c r="C15" s="6" t="s">
        <v>31</v>
      </c>
      <c r="D15" s="95" t="s">
        <v>262</v>
      </c>
      <c r="E15" s="96"/>
      <c r="F15" s="96"/>
      <c r="G15" s="97"/>
      <c r="H15" s="5"/>
      <c r="I15" s="1"/>
    </row>
    <row r="16" spans="1:9" x14ac:dyDescent="0.25">
      <c r="A16" s="1"/>
      <c r="B16" s="1"/>
      <c r="C16" s="6" t="s">
        <v>32</v>
      </c>
      <c r="D16" s="95" t="s">
        <v>263</v>
      </c>
      <c r="E16" s="96"/>
      <c r="F16" s="96"/>
      <c r="G16" s="97"/>
      <c r="H16" s="5"/>
      <c r="I16" s="1"/>
    </row>
    <row r="17" spans="1:9" x14ac:dyDescent="0.25">
      <c r="A17" s="1"/>
      <c r="B17" s="1"/>
      <c r="C17" s="6" t="s">
        <v>101</v>
      </c>
      <c r="D17" s="95" t="s">
        <v>198</v>
      </c>
      <c r="E17" s="96"/>
      <c r="F17" s="96"/>
      <c r="G17" s="97"/>
      <c r="H17" s="5"/>
      <c r="I17" s="1"/>
    </row>
    <row r="18" spans="1:9" x14ac:dyDescent="0.25">
      <c r="A18" s="1"/>
      <c r="B18" s="1"/>
      <c r="C18" s="6" t="s">
        <v>88</v>
      </c>
      <c r="D18" s="92" t="s">
        <v>79</v>
      </c>
      <c r="E18" s="93"/>
      <c r="F18" s="93"/>
      <c r="G18" s="94"/>
      <c r="H18" s="5"/>
      <c r="I18" s="1"/>
    </row>
    <row r="19" spans="1:9" x14ac:dyDescent="0.25">
      <c r="A19" s="1"/>
      <c r="B19" s="1"/>
      <c r="C19" s="6" t="s">
        <v>89</v>
      </c>
      <c r="D19" s="92" t="s">
        <v>80</v>
      </c>
      <c r="E19" s="93"/>
      <c r="F19" s="93"/>
      <c r="G19" s="94"/>
      <c r="H19" s="5"/>
      <c r="I19" s="1"/>
    </row>
    <row r="20" spans="1:9" x14ac:dyDescent="0.25">
      <c r="A20" s="1"/>
      <c r="B20" s="1"/>
      <c r="C20" s="6" t="s">
        <v>7</v>
      </c>
      <c r="D20" s="92" t="s">
        <v>10</v>
      </c>
      <c r="E20" s="93"/>
      <c r="F20" s="93"/>
      <c r="G20" s="94"/>
      <c r="H20" s="5"/>
      <c r="I20" s="1"/>
    </row>
    <row r="21" spans="1:9" x14ac:dyDescent="0.25">
      <c r="A21" s="1"/>
      <c r="B21" s="1"/>
      <c r="C21" s="6" t="s">
        <v>90</v>
      </c>
      <c r="D21" s="99" t="s">
        <v>12</v>
      </c>
      <c r="E21" s="100"/>
      <c r="F21" s="100"/>
      <c r="G21" s="101"/>
      <c r="H21" s="5"/>
      <c r="I21" s="1"/>
    </row>
    <row r="22" spans="1:9" x14ac:dyDescent="0.25">
      <c r="A22" s="1"/>
      <c r="B22" s="1"/>
      <c r="C22" s="6" t="s">
        <v>71</v>
      </c>
      <c r="D22" s="86" t="s">
        <v>199</v>
      </c>
      <c r="E22" s="87"/>
      <c r="F22" s="87"/>
      <c r="G22" s="88"/>
      <c r="H22" s="5"/>
      <c r="I22" s="1"/>
    </row>
    <row r="23" spans="1:9" x14ac:dyDescent="0.25">
      <c r="A23" s="1"/>
      <c r="B23" s="1"/>
      <c r="C23" s="6" t="s">
        <v>8</v>
      </c>
      <c r="D23" s="86" t="s">
        <v>181</v>
      </c>
      <c r="E23" s="87"/>
      <c r="F23" s="87"/>
      <c r="G23" s="88"/>
      <c r="H23" s="5"/>
      <c r="I23" s="1"/>
    </row>
    <row r="24" spans="1:9" x14ac:dyDescent="0.25">
      <c r="A24" s="1"/>
      <c r="B24" s="1"/>
      <c r="C24" s="6" t="s">
        <v>9</v>
      </c>
      <c r="D24" s="86" t="s">
        <v>200</v>
      </c>
      <c r="E24" s="87"/>
      <c r="F24" s="87"/>
      <c r="G24" s="88"/>
      <c r="H24" s="5"/>
      <c r="I24" s="1"/>
    </row>
    <row r="25" spans="1:9" x14ac:dyDescent="0.25">
      <c r="A25" s="1"/>
      <c r="B25" s="1"/>
      <c r="C25" s="6" t="s">
        <v>166</v>
      </c>
      <c r="D25" s="86" t="s">
        <v>160</v>
      </c>
      <c r="E25" s="87"/>
      <c r="F25" s="87"/>
      <c r="G25" s="88"/>
      <c r="H25" s="1"/>
      <c r="I25" s="1"/>
    </row>
    <row r="26" spans="1:9" x14ac:dyDescent="0.25">
      <c r="A26" s="1"/>
      <c r="B26" s="1"/>
      <c r="C26" s="6" t="s">
        <v>167</v>
      </c>
      <c r="D26" s="86" t="s">
        <v>72</v>
      </c>
      <c r="E26" s="87"/>
      <c r="F26" s="87"/>
      <c r="G26" s="88"/>
      <c r="H26" s="1"/>
      <c r="I26" s="1"/>
    </row>
    <row r="27" spans="1:9" x14ac:dyDescent="0.25">
      <c r="A27" s="1"/>
      <c r="B27" s="1"/>
      <c r="C27" s="6" t="s">
        <v>168</v>
      </c>
      <c r="D27" s="86" t="s">
        <v>73</v>
      </c>
      <c r="E27" s="87"/>
      <c r="F27" s="87"/>
      <c r="G27" s="88"/>
      <c r="H27" s="1"/>
      <c r="I27" s="1"/>
    </row>
    <row r="28" spans="1:9" x14ac:dyDescent="0.25">
      <c r="A28" s="1"/>
      <c r="B28" s="1"/>
      <c r="C28" s="6" t="s">
        <v>15</v>
      </c>
      <c r="D28" s="86" t="s">
        <v>74</v>
      </c>
      <c r="E28" s="87"/>
      <c r="F28" s="87"/>
      <c r="G28" s="88"/>
      <c r="H28" s="1"/>
      <c r="I28" s="1"/>
    </row>
    <row r="29" spans="1:9" x14ac:dyDescent="0.25">
      <c r="A29" s="1"/>
      <c r="B29" s="1"/>
      <c r="C29" s="6" t="s">
        <v>34</v>
      </c>
      <c r="D29" s="86" t="s">
        <v>114</v>
      </c>
      <c r="E29" s="87"/>
      <c r="F29" s="87"/>
      <c r="G29" s="88"/>
      <c r="H29" s="1"/>
      <c r="I29" s="1"/>
    </row>
    <row r="30" spans="1:9" x14ac:dyDescent="0.25">
      <c r="A30" s="1"/>
      <c r="B30" s="1"/>
      <c r="C30" s="6" t="s">
        <v>35</v>
      </c>
      <c r="D30" s="86" t="s">
        <v>33</v>
      </c>
      <c r="E30" s="87"/>
      <c r="F30" s="87"/>
      <c r="G30" s="88"/>
      <c r="H30" s="1"/>
      <c r="I30" s="1"/>
    </row>
    <row r="31" spans="1:9" x14ac:dyDescent="0.25">
      <c r="A31" s="1"/>
      <c r="B31" s="1"/>
      <c r="C31" s="6" t="s">
        <v>169</v>
      </c>
      <c r="D31" s="89" t="s">
        <v>87</v>
      </c>
      <c r="E31" s="90"/>
      <c r="F31" s="90"/>
      <c r="G31" s="9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poX+hBZ+Wl9ygOvvw3pl3Ecf/lCabNessntliL0rV6z9k1m7P92LAPtkg4KIqSVcDRkx768ngU0UeUiSBKx8gA==" saltValue="p7FwXynBubrxuIwaOnwnR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93</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224</v>
      </c>
      <c r="C8" s="112"/>
      <c r="D8" s="113"/>
      <c r="E8" s="1"/>
      <c r="F8" s="1"/>
    </row>
    <row r="9" spans="1:6" ht="15" customHeight="1" x14ac:dyDescent="0.25">
      <c r="A9" s="1"/>
      <c r="B9" s="27" t="s">
        <v>29</v>
      </c>
      <c r="C9" s="50" t="s">
        <v>225</v>
      </c>
      <c r="D9" s="11"/>
      <c r="E9" s="1"/>
      <c r="F9" s="1"/>
    </row>
    <row r="10" spans="1:6" ht="15" customHeight="1" x14ac:dyDescent="0.25">
      <c r="A10" s="1"/>
      <c r="B10" s="78" t="s">
        <v>273</v>
      </c>
      <c r="C10" s="9">
        <v>306969</v>
      </c>
      <c r="D10" s="14" t="s">
        <v>3</v>
      </c>
      <c r="E10" s="1"/>
      <c r="F10" s="1"/>
    </row>
    <row r="11" spans="1:6" ht="15" customHeight="1" x14ac:dyDescent="0.25">
      <c r="A11" s="1"/>
      <c r="B11" s="78" t="s">
        <v>274</v>
      </c>
      <c r="C11" s="9">
        <v>68874</v>
      </c>
      <c r="D11" s="14" t="s">
        <v>3</v>
      </c>
      <c r="E11" s="1"/>
      <c r="F11" s="1"/>
    </row>
    <row r="12" spans="1:6" ht="26.25" x14ac:dyDescent="0.25">
      <c r="A12" s="1"/>
      <c r="B12" s="29" t="s">
        <v>275</v>
      </c>
      <c r="C12" s="9">
        <v>25621</v>
      </c>
      <c r="D12" s="14" t="s">
        <v>3</v>
      </c>
      <c r="E12" s="1"/>
      <c r="F12" s="1"/>
    </row>
    <row r="13" spans="1:6" x14ac:dyDescent="0.25">
      <c r="A13" s="1"/>
      <c r="B13" s="78" t="s">
        <v>272</v>
      </c>
      <c r="C13" s="9">
        <v>138763</v>
      </c>
      <c r="D13" s="14" t="s">
        <v>3</v>
      </c>
      <c r="E13" s="1"/>
      <c r="F13" s="1"/>
    </row>
    <row r="14" spans="1:6" x14ac:dyDescent="0.25">
      <c r="A14" s="1"/>
      <c r="B14" s="78"/>
      <c r="C14" s="9"/>
      <c r="D14" s="14" t="s">
        <v>3</v>
      </c>
      <c r="E14" s="1"/>
      <c r="F14" s="1"/>
    </row>
    <row r="15" spans="1:6" x14ac:dyDescent="0.25">
      <c r="A15" s="1"/>
      <c r="B15" s="78"/>
      <c r="C15" s="9"/>
      <c r="D15" s="14" t="s">
        <v>3</v>
      </c>
      <c r="E15" s="1"/>
      <c r="F15" s="1"/>
    </row>
    <row r="16" spans="1:6" x14ac:dyDescent="0.25">
      <c r="A16" s="1"/>
      <c r="B16" s="78"/>
      <c r="C16" s="9"/>
      <c r="D16" s="14" t="s">
        <v>3</v>
      </c>
      <c r="E16" s="1"/>
      <c r="F16" s="1"/>
    </row>
    <row r="17" spans="1:6" x14ac:dyDescent="0.25">
      <c r="A17" s="1"/>
      <c r="B17" s="78"/>
      <c r="C17" s="9"/>
      <c r="D17" s="14" t="s">
        <v>3</v>
      </c>
      <c r="E17" s="1"/>
      <c r="F17" s="1"/>
    </row>
    <row r="18" spans="1:6" x14ac:dyDescent="0.25">
      <c r="A18" s="1"/>
      <c r="B18" s="78"/>
      <c r="C18" s="9"/>
      <c r="D18" s="14" t="s">
        <v>3</v>
      </c>
      <c r="E18" s="1"/>
      <c r="F18" s="1"/>
    </row>
    <row r="19" spans="1:6" x14ac:dyDescent="0.25">
      <c r="A19" s="1"/>
      <c r="B19" s="78"/>
      <c r="C19" s="9"/>
      <c r="D19" s="14" t="s">
        <v>3</v>
      </c>
      <c r="E19" s="1"/>
      <c r="F19" s="1"/>
    </row>
    <row r="20" spans="1:6" x14ac:dyDescent="0.25">
      <c r="A20" s="1"/>
      <c r="B20" s="33" t="s">
        <v>226</v>
      </c>
      <c r="C20" s="12">
        <f>SUM(C10:C19)</f>
        <v>540227</v>
      </c>
      <c r="D20" s="13" t="s">
        <v>3</v>
      </c>
      <c r="E20" s="1"/>
      <c r="F20" s="1"/>
    </row>
    <row r="21" spans="1:6" x14ac:dyDescent="0.25">
      <c r="A21" s="1"/>
      <c r="B21" s="33" t="s">
        <v>227</v>
      </c>
      <c r="C21" s="12">
        <f>C20*(1+'Fane 15. Nøgletal'!C16)^2</f>
        <v>631054.63080127991</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1" t="s">
        <v>99</v>
      </c>
      <c r="C24" s="112"/>
      <c r="D24" s="113"/>
      <c r="E24" s="1"/>
      <c r="F24" s="1"/>
    </row>
    <row r="25" spans="1:6" x14ac:dyDescent="0.25">
      <c r="A25" s="1"/>
      <c r="B25" s="78" t="s">
        <v>109</v>
      </c>
      <c r="C25" s="9">
        <v>0</v>
      </c>
      <c r="D25" s="14" t="s">
        <v>3</v>
      </c>
      <c r="E25" s="1"/>
      <c r="F25" s="1"/>
    </row>
    <row r="26" spans="1:6" x14ac:dyDescent="0.25">
      <c r="A26" s="1"/>
      <c r="B26" s="78" t="s">
        <v>123</v>
      </c>
      <c r="C26" s="9">
        <v>0</v>
      </c>
      <c r="D26" s="14" t="s">
        <v>3</v>
      </c>
      <c r="E26" s="1"/>
      <c r="F26" s="1"/>
    </row>
    <row r="27" spans="1:6" x14ac:dyDescent="0.25">
      <c r="A27" s="1"/>
      <c r="B27" s="78" t="s">
        <v>142</v>
      </c>
      <c r="C27" s="9">
        <v>0</v>
      </c>
      <c r="D27" s="14" t="s">
        <v>3</v>
      </c>
      <c r="E27" s="1"/>
      <c r="F27" s="1"/>
    </row>
    <row r="28" spans="1:6" x14ac:dyDescent="0.25">
      <c r="A28" s="1"/>
      <c r="B28" s="34" t="s">
        <v>261</v>
      </c>
      <c r="C28" s="9">
        <v>0</v>
      </c>
      <c r="D28" s="38" t="s">
        <v>3</v>
      </c>
      <c r="E28" s="1"/>
      <c r="F28" s="1"/>
    </row>
    <row r="29" spans="1:6" x14ac:dyDescent="0.25">
      <c r="A29" s="1"/>
      <c r="B29" s="111"/>
      <c r="C29" s="112"/>
      <c r="D29" s="113"/>
      <c r="E29" s="1"/>
      <c r="F29" s="1"/>
    </row>
    <row r="30" spans="1:6" x14ac:dyDescent="0.25">
      <c r="A30" s="1"/>
      <c r="B30" s="1"/>
      <c r="C30" s="1"/>
      <c r="D30" s="1"/>
      <c r="E30" s="1"/>
      <c r="F30" s="1"/>
    </row>
    <row r="31" spans="1:6" x14ac:dyDescent="0.25">
      <c r="A31" s="1"/>
      <c r="B31" s="1"/>
      <c r="C31" s="1"/>
      <c r="D31" s="1"/>
      <c r="E31" s="1"/>
      <c r="F31" s="1"/>
    </row>
    <row r="32" spans="1:6" x14ac:dyDescent="0.25">
      <c r="A32" s="1"/>
      <c r="B32" s="111" t="s">
        <v>81</v>
      </c>
      <c r="C32" s="112"/>
      <c r="D32" s="113"/>
      <c r="E32" s="1"/>
      <c r="F32" s="1"/>
    </row>
    <row r="33" spans="1:6" x14ac:dyDescent="0.25">
      <c r="A33" s="1"/>
      <c r="B33" s="78" t="s">
        <v>109</v>
      </c>
      <c r="C33" s="9">
        <v>2952550</v>
      </c>
      <c r="D33" s="14" t="s">
        <v>3</v>
      </c>
      <c r="E33" s="1"/>
      <c r="F33" s="1"/>
    </row>
    <row r="34" spans="1:6" x14ac:dyDescent="0.25">
      <c r="A34" s="1"/>
      <c r="B34" s="78" t="s">
        <v>123</v>
      </c>
      <c r="C34" s="9">
        <v>639876</v>
      </c>
      <c r="D34" s="14" t="s">
        <v>3</v>
      </c>
      <c r="E34" s="1"/>
      <c r="F34" s="1"/>
    </row>
    <row r="35" spans="1:6" x14ac:dyDescent="0.25">
      <c r="A35" s="1"/>
      <c r="B35" s="78" t="s">
        <v>142</v>
      </c>
      <c r="C35" s="9">
        <v>639876</v>
      </c>
      <c r="D35" s="14" t="s">
        <v>3</v>
      </c>
      <c r="E35" s="1"/>
      <c r="F35" s="1"/>
    </row>
    <row r="36" spans="1:6" x14ac:dyDescent="0.25">
      <c r="A36" s="1"/>
      <c r="B36" s="34" t="s">
        <v>261</v>
      </c>
      <c r="C36" s="9">
        <v>639876</v>
      </c>
      <c r="D36" s="38" t="s">
        <v>3</v>
      </c>
      <c r="E36" s="1"/>
      <c r="F36" s="1"/>
    </row>
    <row r="37" spans="1:6" x14ac:dyDescent="0.25">
      <c r="A37" s="1"/>
      <c r="B37" s="111"/>
      <c r="C37" s="112"/>
      <c r="D37" s="113"/>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YQxzpJSqLKWDKVO2CClCSXMUKOR3dokivmyshPe4UeClA2ZYq5Ks8KQlWZZqDbWiQVDcf93U2Idg2utclwwqvw==" saltValue="xJVmz59AFxPf4902sPV0b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3CE1E-B588-46FE-B2BA-6065C4890143}">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206</v>
      </c>
      <c r="C3" s="110"/>
      <c r="D3" s="110"/>
      <c r="E3" s="110"/>
      <c r="F3" s="110"/>
      <c r="G3" s="1"/>
    </row>
    <row r="4" spans="1:7" ht="15" customHeight="1" x14ac:dyDescent="0.25">
      <c r="A4" s="1"/>
      <c r="B4" s="110"/>
      <c r="C4" s="110"/>
      <c r="D4" s="110"/>
      <c r="E4" s="110"/>
      <c r="F4" s="110"/>
      <c r="G4" s="1"/>
    </row>
    <row r="5" spans="1:7" ht="15" customHeight="1" x14ac:dyDescent="0.25">
      <c r="A5" s="1"/>
      <c r="B5" s="71"/>
      <c r="C5" s="71"/>
      <c r="D5" s="71"/>
      <c r="E5" s="71"/>
      <c r="F5" s="71"/>
      <c r="G5" s="1"/>
    </row>
    <row r="6" spans="1:7" ht="15" customHeight="1" x14ac:dyDescent="0.25">
      <c r="A6" s="1"/>
      <c r="B6" s="71"/>
      <c r="C6" s="71"/>
      <c r="D6" s="71"/>
      <c r="E6" s="71"/>
      <c r="F6" s="71"/>
      <c r="G6" s="1"/>
    </row>
    <row r="7" spans="1:7" ht="15" customHeight="1" x14ac:dyDescent="0.25">
      <c r="A7" s="1"/>
      <c r="B7" s="1"/>
      <c r="C7" s="1"/>
      <c r="D7" s="1"/>
      <c r="E7" s="1"/>
      <c r="F7" s="1"/>
      <c r="G7" s="1"/>
    </row>
    <row r="8" spans="1:7" ht="15" customHeight="1" x14ac:dyDescent="0.25">
      <c r="A8" s="1"/>
      <c r="B8" s="111" t="s">
        <v>137</v>
      </c>
      <c r="C8" s="112"/>
      <c r="D8" s="112"/>
      <c r="E8" s="112"/>
      <c r="F8" s="113"/>
      <c r="G8" s="1"/>
    </row>
    <row r="9" spans="1:7" ht="15" customHeight="1" x14ac:dyDescent="0.25">
      <c r="A9" s="1"/>
      <c r="B9" s="114" t="s">
        <v>276</v>
      </c>
      <c r="C9" s="115"/>
      <c r="D9" s="116"/>
      <c r="E9" s="9">
        <v>6425851</v>
      </c>
      <c r="F9" s="14" t="s">
        <v>3</v>
      </c>
      <c r="G9" s="1"/>
    </row>
    <row r="10" spans="1:7" ht="15" customHeight="1" x14ac:dyDescent="0.25">
      <c r="A10" s="1"/>
      <c r="B10" s="114" t="s">
        <v>143</v>
      </c>
      <c r="C10" s="115"/>
      <c r="D10" s="116"/>
      <c r="E10" s="9">
        <v>-5768916</v>
      </c>
      <c r="F10" s="14" t="s">
        <v>3</v>
      </c>
      <c r="G10" s="1"/>
    </row>
    <row r="11" spans="1:7" ht="15" customHeight="1" x14ac:dyDescent="0.25">
      <c r="A11" s="1"/>
      <c r="B11" s="114" t="s">
        <v>277</v>
      </c>
      <c r="C11" s="115"/>
      <c r="D11" s="116"/>
      <c r="E11" s="9">
        <v>-9796884</v>
      </c>
      <c r="F11" s="14" t="s">
        <v>3</v>
      </c>
      <c r="G11" s="1"/>
    </row>
    <row r="12" spans="1:7" x14ac:dyDescent="0.25">
      <c r="A12" s="1"/>
      <c r="B12" s="33"/>
      <c r="C12" s="28"/>
      <c r="D12" s="28"/>
      <c r="E12" s="28"/>
      <c r="F12" s="19"/>
      <c r="G12" s="1"/>
    </row>
    <row r="13" spans="1:7" ht="42" customHeight="1" x14ac:dyDescent="0.25">
      <c r="A13" s="1"/>
      <c r="B13" s="123" t="s">
        <v>278</v>
      </c>
      <c r="C13" s="124"/>
      <c r="D13" s="124"/>
      <c r="E13" s="124"/>
      <c r="F13" s="125"/>
      <c r="G13" s="1"/>
    </row>
    <row r="14" spans="1:7" ht="15" customHeight="1" x14ac:dyDescent="0.25">
      <c r="A14" s="1"/>
      <c r="B14" s="1"/>
      <c r="C14" s="1"/>
      <c r="D14" s="1"/>
      <c r="E14" s="1"/>
      <c r="F14" s="1"/>
      <c r="G14" s="1"/>
    </row>
    <row r="15" spans="1:7" x14ac:dyDescent="0.25">
      <c r="A15" s="1"/>
      <c r="B15" s="72" t="s">
        <v>279</v>
      </c>
      <c r="C15" s="73"/>
      <c r="D15" s="73"/>
      <c r="E15" s="73"/>
      <c r="F15" s="74"/>
      <c r="G15" s="1"/>
    </row>
    <row r="16" spans="1:7" x14ac:dyDescent="0.25">
      <c r="A16" s="1"/>
      <c r="B16" s="75" t="s">
        <v>280</v>
      </c>
      <c r="C16" s="76"/>
      <c r="D16" s="77"/>
      <c r="E16" s="9">
        <f>IF(E11&lt;0,E11,0)</f>
        <v>-9796884</v>
      </c>
      <c r="F16" s="14" t="s">
        <v>3</v>
      </c>
      <c r="G16" s="1"/>
    </row>
    <row r="17" spans="1:7" x14ac:dyDescent="0.25">
      <c r="A17" s="1"/>
      <c r="B17" s="75" t="s">
        <v>281</v>
      </c>
      <c r="C17" s="76"/>
      <c r="D17" s="77"/>
      <c r="E17" s="9">
        <f>IF(SUM(E10)&gt;0,SUM(E10),0)</f>
        <v>0</v>
      </c>
      <c r="F17" s="14" t="s">
        <v>3</v>
      </c>
      <c r="G17" s="1"/>
    </row>
    <row r="18" spans="1:7" x14ac:dyDescent="0.25">
      <c r="A18" s="1"/>
      <c r="B18" s="79" t="s">
        <v>282</v>
      </c>
      <c r="C18" s="80"/>
      <c r="D18" s="81"/>
      <c r="E18" s="62">
        <f>IF(SUM(E16:E17)&gt;0,0,SUM(E16:E17))</f>
        <v>-9796884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2" t="s">
        <v>283</v>
      </c>
      <c r="C21" s="73"/>
      <c r="D21" s="73"/>
      <c r="E21" s="73"/>
      <c r="F21" s="74"/>
      <c r="G21" s="1"/>
    </row>
    <row r="22" spans="1:7" x14ac:dyDescent="0.25">
      <c r="A22" s="1"/>
      <c r="B22" s="75" t="s">
        <v>284</v>
      </c>
      <c r="C22" s="76"/>
      <c r="D22" s="77"/>
      <c r="E22" s="9">
        <v>48287464</v>
      </c>
      <c r="F22" s="14" t="s">
        <v>3</v>
      </c>
      <c r="G22" s="1"/>
    </row>
    <row r="23" spans="1:7" x14ac:dyDescent="0.25">
      <c r="A23" s="1"/>
      <c r="B23" s="75" t="s">
        <v>285</v>
      </c>
      <c r="C23" s="76"/>
      <c r="D23" s="77"/>
      <c r="E23" s="9">
        <v>47472903</v>
      </c>
      <c r="F23" s="14" t="s">
        <v>3</v>
      </c>
      <c r="G23" s="1"/>
    </row>
    <row r="24" spans="1:7" x14ac:dyDescent="0.25">
      <c r="A24" s="1"/>
      <c r="B24" s="75" t="s">
        <v>30</v>
      </c>
      <c r="C24" s="76"/>
      <c r="D24" s="77"/>
      <c r="E24" s="9">
        <v>0</v>
      </c>
      <c r="F24" s="14" t="s">
        <v>3</v>
      </c>
      <c r="G24" s="1"/>
    </row>
    <row r="25" spans="1:7" x14ac:dyDescent="0.25">
      <c r="A25" s="1"/>
      <c r="B25" s="79" t="s">
        <v>286</v>
      </c>
      <c r="C25" s="80"/>
      <c r="D25" s="81"/>
      <c r="E25" s="62">
        <f>E22-E23-E24</f>
        <v>814561</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1" t="s">
        <v>287</v>
      </c>
      <c r="C28" s="112"/>
      <c r="D28" s="112"/>
      <c r="E28" s="112"/>
      <c r="F28" s="113"/>
      <c r="G28" s="1"/>
    </row>
    <row r="29" spans="1:7" x14ac:dyDescent="0.25">
      <c r="A29" s="1"/>
      <c r="B29" s="129" t="s">
        <v>116</v>
      </c>
      <c r="C29" s="130"/>
      <c r="D29" s="131"/>
      <c r="E29" s="9">
        <f>IF(E18&lt;0,IF(E25&lt;0,SUM(E18,E25),IF(E10&gt;0,SUM(E10:E11),E18)),IF(AND(E25&lt;0,SUM(E25,E11)&lt;0),IF(E11&lt;0,E25,IF(SUM(E10:E11)&gt;0,SUM(E25,E11),IF(AND(E25&lt;0,E18=0,E11&gt;0),IF(SUM(E9:E11)&gt;0,E25+E11,E25)))),0))</f>
        <v>-9796884</v>
      </c>
      <c r="F29" s="14" t="s">
        <v>3</v>
      </c>
      <c r="G29" s="1"/>
    </row>
    <row r="30" spans="1:7" x14ac:dyDescent="0.25">
      <c r="A30" s="1"/>
      <c r="B30" s="129" t="s">
        <v>84</v>
      </c>
      <c r="C30" s="130"/>
      <c r="D30" s="131"/>
      <c r="E30" s="9">
        <v>2</v>
      </c>
      <c r="F30" s="14" t="s">
        <v>20</v>
      </c>
      <c r="G30" s="1"/>
    </row>
    <row r="31" spans="1:7" x14ac:dyDescent="0.25">
      <c r="A31" s="1"/>
      <c r="B31" s="132" t="s">
        <v>117</v>
      </c>
      <c r="C31" s="133"/>
      <c r="D31" s="134"/>
      <c r="E31" s="10">
        <f>E29/E30</f>
        <v>-4898442</v>
      </c>
      <c r="F31" s="17" t="s">
        <v>3</v>
      </c>
      <c r="G31" s="1"/>
    </row>
    <row r="32" spans="1:7" x14ac:dyDescent="0.25">
      <c r="A32" s="1"/>
      <c r="B32" s="135"/>
      <c r="C32" s="136"/>
      <c r="D32" s="136"/>
      <c r="E32" s="136"/>
      <c r="F32" s="13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bjvSbYs7yiasa95vk078XrrxTQAsHya59jRT8fFGhhTQyqLd+olCd93dp7mBpryeaLlauqVrVZOjjH+K6WMNhQ==" saltValue="vIL4H7KoX1qCwENYwndxd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170</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189</v>
      </c>
      <c r="C8" s="112"/>
      <c r="D8" s="112"/>
      <c r="E8" s="112"/>
      <c r="F8" s="112"/>
      <c r="G8" s="112"/>
      <c r="H8" s="113"/>
      <c r="I8" s="1"/>
    </row>
    <row r="9" spans="1:9" ht="15" customHeight="1" x14ac:dyDescent="0.25">
      <c r="A9" s="1"/>
      <c r="B9" s="141" t="s">
        <v>171</v>
      </c>
      <c r="C9" s="142"/>
      <c r="D9" s="142"/>
      <c r="E9" s="142"/>
      <c r="F9" s="142"/>
      <c r="G9" s="142"/>
      <c r="H9" s="143"/>
      <c r="I9" s="1"/>
    </row>
    <row r="10" spans="1:9" x14ac:dyDescent="0.25">
      <c r="A10" s="1"/>
      <c r="B10" s="138" t="s">
        <v>172</v>
      </c>
      <c r="C10" s="139"/>
      <c r="D10" s="139"/>
      <c r="E10" s="139"/>
      <c r="F10" s="140"/>
      <c r="G10" s="9">
        <v>0</v>
      </c>
      <c r="H10" s="9" t="s">
        <v>3</v>
      </c>
      <c r="I10" s="1"/>
    </row>
    <row r="11" spans="1:9" x14ac:dyDescent="0.25">
      <c r="A11" s="1"/>
      <c r="B11" s="138" t="s">
        <v>173</v>
      </c>
      <c r="C11" s="139"/>
      <c r="D11" s="139"/>
      <c r="E11" s="139"/>
      <c r="F11" s="140"/>
      <c r="G11" s="9">
        <v>0</v>
      </c>
      <c r="H11" s="9" t="s">
        <v>3</v>
      </c>
      <c r="I11" s="1"/>
    </row>
    <row r="12" spans="1:9" x14ac:dyDescent="0.25">
      <c r="A12" s="1"/>
      <c r="B12" s="138" t="s">
        <v>174</v>
      </c>
      <c r="C12" s="139"/>
      <c r="D12" s="139"/>
      <c r="E12" s="139"/>
      <c r="F12" s="140"/>
      <c r="G12" s="9">
        <v>0</v>
      </c>
      <c r="H12" s="9" t="s">
        <v>3</v>
      </c>
      <c r="I12" s="1"/>
    </row>
    <row r="13" spans="1:9" x14ac:dyDescent="0.25">
      <c r="A13" s="1"/>
      <c r="B13" s="138" t="s">
        <v>175</v>
      </c>
      <c r="C13" s="139"/>
      <c r="D13" s="139"/>
      <c r="E13" s="139"/>
      <c r="F13" s="140"/>
      <c r="G13" s="9">
        <v>0</v>
      </c>
      <c r="H13" s="9" t="s">
        <v>3</v>
      </c>
      <c r="I13" s="1"/>
    </row>
    <row r="14" spans="1:9" x14ac:dyDescent="0.25">
      <c r="A14" s="1"/>
      <c r="B14" s="138" t="s">
        <v>176</v>
      </c>
      <c r="C14" s="139"/>
      <c r="D14" s="139"/>
      <c r="E14" s="139"/>
      <c r="F14" s="140"/>
      <c r="G14" s="9">
        <v>0</v>
      </c>
      <c r="H14" s="9" t="s">
        <v>3</v>
      </c>
      <c r="I14" s="1"/>
    </row>
    <row r="15" spans="1:9" x14ac:dyDescent="0.25">
      <c r="A15" s="1"/>
      <c r="B15" s="138" t="s">
        <v>177</v>
      </c>
      <c r="C15" s="139"/>
      <c r="D15" s="139"/>
      <c r="E15" s="139"/>
      <c r="F15" s="140"/>
      <c r="G15" s="9">
        <v>0</v>
      </c>
      <c r="H15" s="9" t="s">
        <v>3</v>
      </c>
      <c r="I15" s="1"/>
    </row>
    <row r="16" spans="1:9" x14ac:dyDescent="0.25">
      <c r="A16" s="1"/>
      <c r="B16" s="138" t="s">
        <v>178</v>
      </c>
      <c r="C16" s="139"/>
      <c r="D16" s="139"/>
      <c r="E16" s="139"/>
      <c r="F16" s="140"/>
      <c r="G16" s="9">
        <v>0</v>
      </c>
      <c r="H16" s="9" t="s">
        <v>3</v>
      </c>
      <c r="I16" s="1"/>
    </row>
    <row r="17" spans="1:9" x14ac:dyDescent="0.25">
      <c r="A17" s="1"/>
      <c r="B17" s="138" t="s">
        <v>179</v>
      </c>
      <c r="C17" s="139"/>
      <c r="D17" s="139"/>
      <c r="E17" s="139"/>
      <c r="F17" s="140"/>
      <c r="G17" s="9">
        <v>0</v>
      </c>
      <c r="H17" s="9" t="s">
        <v>3</v>
      </c>
      <c r="I17" s="1"/>
    </row>
    <row r="18" spans="1:9" x14ac:dyDescent="0.25">
      <c r="A18" s="1"/>
      <c r="B18" s="111" t="s">
        <v>180</v>
      </c>
      <c r="C18" s="112"/>
      <c r="D18" s="112"/>
      <c r="E18" s="112"/>
      <c r="F18" s="11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IetzeraqGdpIKFMK0PWgFrCXz6kNCY1QB4yYXHhHkgNmoC2ZRuS90w0iGb6PllLWLIzKYjPgDqkTnzKjwQeUA==" saltValue="dEjgY6XBCZpuD+eqGkxGn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207</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228</v>
      </c>
      <c r="C9" s="112"/>
      <c r="D9" s="112"/>
      <c r="E9" s="112"/>
      <c r="F9" s="113"/>
      <c r="G9" s="1"/>
    </row>
    <row r="10" spans="1:7" x14ac:dyDescent="0.25">
      <c r="A10" s="1"/>
      <c r="B10" s="123" t="s">
        <v>82</v>
      </c>
      <c r="C10" s="124"/>
      <c r="D10" s="125"/>
      <c r="E10" s="7">
        <v>0</v>
      </c>
      <c r="F10" s="8" t="s">
        <v>3</v>
      </c>
      <c r="G10" s="1"/>
    </row>
    <row r="11" spans="1:7" x14ac:dyDescent="0.25">
      <c r="A11" s="1"/>
      <c r="B11" s="114" t="s">
        <v>229</v>
      </c>
      <c r="C11" s="115"/>
      <c r="D11" s="116"/>
      <c r="E11" s="7">
        <v>0</v>
      </c>
      <c r="F11" s="8" t="s">
        <v>3</v>
      </c>
      <c r="G11" s="1"/>
    </row>
    <row r="12" spans="1:7" x14ac:dyDescent="0.25">
      <c r="A12" s="1"/>
      <c r="B12" s="132" t="s">
        <v>83</v>
      </c>
      <c r="C12" s="133"/>
      <c r="D12" s="134"/>
      <c r="E12" s="10">
        <f>E11-E10</f>
        <v>0</v>
      </c>
      <c r="F12" s="11" t="s">
        <v>3</v>
      </c>
      <c r="G12" s="1"/>
    </row>
    <row r="13" spans="1:7" x14ac:dyDescent="0.25">
      <c r="A13" s="1"/>
      <c r="B13" s="111" t="s">
        <v>78</v>
      </c>
      <c r="C13" s="112"/>
      <c r="D13" s="112"/>
      <c r="E13" s="112"/>
      <c r="F13" s="113"/>
      <c r="G13" s="1"/>
    </row>
    <row r="14" spans="1:7" x14ac:dyDescent="0.25">
      <c r="A14" s="1"/>
      <c r="B14" s="114" t="s">
        <v>230</v>
      </c>
      <c r="C14" s="115"/>
      <c r="D14" s="116"/>
      <c r="E14" s="7">
        <v>0</v>
      </c>
      <c r="F14" s="8" t="s">
        <v>3</v>
      </c>
      <c r="G14" s="1"/>
    </row>
    <row r="15" spans="1:7" x14ac:dyDescent="0.25">
      <c r="A15" s="1"/>
      <c r="B15" s="123" t="s">
        <v>231</v>
      </c>
      <c r="C15" s="124"/>
      <c r="D15" s="125"/>
      <c r="E15" s="7">
        <v>0</v>
      </c>
      <c r="F15" s="8" t="s">
        <v>3</v>
      </c>
      <c r="G15" s="1"/>
    </row>
    <row r="16" spans="1:7" x14ac:dyDescent="0.25">
      <c r="A16" s="1"/>
      <c r="B16" s="132" t="s">
        <v>83</v>
      </c>
      <c r="C16" s="133"/>
      <c r="D16" s="134"/>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1OFuFhdqSaPYxLdH49bSUBgZvBc+zQr89UYfwk4SKFbofDWTllRDjbGonGocbVH0FBBWHqLh6TaQKp9HNXnug==" saltValue="7nDdfpwkWeCU61Ef2cL59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182</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149</v>
      </c>
      <c r="C8" s="112"/>
      <c r="D8" s="112"/>
      <c r="E8" s="112"/>
      <c r="F8" s="112"/>
      <c r="G8" s="112"/>
      <c r="H8" s="112"/>
      <c r="I8" s="112"/>
      <c r="J8" s="112"/>
      <c r="K8" s="113"/>
      <c r="L8" s="1"/>
    </row>
    <row r="9" spans="1:12" ht="39.75" customHeight="1" x14ac:dyDescent="0.25">
      <c r="A9" s="1"/>
      <c r="B9" s="18" t="s">
        <v>0</v>
      </c>
      <c r="C9" s="18" t="s">
        <v>1</v>
      </c>
      <c r="D9" s="144" t="s">
        <v>165</v>
      </c>
      <c r="E9" s="145"/>
      <c r="F9" s="144" t="s">
        <v>2</v>
      </c>
      <c r="G9" s="145"/>
      <c r="H9" s="144" t="s">
        <v>164</v>
      </c>
      <c r="I9" s="145"/>
      <c r="J9" s="144" t="s">
        <v>27</v>
      </c>
      <c r="K9" s="145"/>
      <c r="L9" s="1"/>
    </row>
    <row r="10" spans="1:12" x14ac:dyDescent="0.25">
      <c r="A10" s="1"/>
      <c r="B10" s="82" t="s">
        <v>265</v>
      </c>
      <c r="C10" s="45">
        <v>0</v>
      </c>
      <c r="D10" s="9">
        <v>0</v>
      </c>
      <c r="E10" s="14" t="s">
        <v>3</v>
      </c>
      <c r="F10" s="9">
        <f>IFERROR(D10/C10,0)</f>
        <v>0</v>
      </c>
      <c r="G10" s="14" t="s">
        <v>3</v>
      </c>
      <c r="H10" s="41">
        <v>0</v>
      </c>
      <c r="I10" s="14" t="s">
        <v>3</v>
      </c>
      <c r="J10" s="41">
        <v>0</v>
      </c>
      <c r="K10" s="14" t="s">
        <v>3</v>
      </c>
      <c r="L10" s="1"/>
    </row>
    <row r="11" spans="1:12" x14ac:dyDescent="0.25">
      <c r="A11" s="1"/>
      <c r="B11" s="72" t="s">
        <v>150</v>
      </c>
      <c r="C11" s="73"/>
      <c r="D11" s="74"/>
      <c r="E11" s="74"/>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fnF08iGhyx/afLcwd9oaQ+mn6lEKDwaB2wWiva+b3RLnw9UVZvYlT3+lxnTgzbi3f+YpxU/5yAqxSqtkBptz3A==" saltValue="kNwfVTtUmdLAORWLV8tVy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183</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3" t="s">
        <v>17</v>
      </c>
      <c r="C9" s="83" t="s">
        <v>11</v>
      </c>
      <c r="D9" s="84"/>
      <c r="E9" s="83"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150125</v>
      </c>
      <c r="D11" s="14" t="s">
        <v>3</v>
      </c>
      <c r="E11" s="9">
        <v>1724071</v>
      </c>
      <c r="F11" s="14" t="s">
        <v>3</v>
      </c>
      <c r="G11" s="1"/>
    </row>
    <row r="12" spans="1:7" x14ac:dyDescent="0.25">
      <c r="A12" s="1"/>
      <c r="B12" s="24" t="s">
        <v>289</v>
      </c>
      <c r="C12" s="21">
        <v>19725</v>
      </c>
      <c r="D12" s="14" t="s">
        <v>3</v>
      </c>
      <c r="E12" s="9">
        <v>63411</v>
      </c>
      <c r="F12" s="14" t="s">
        <v>3</v>
      </c>
      <c r="G12" s="1"/>
    </row>
    <row r="13" spans="1:7" x14ac:dyDescent="0.25">
      <c r="A13" s="1"/>
      <c r="B13" s="24" t="s">
        <v>290</v>
      </c>
      <c r="C13" s="21">
        <v>0</v>
      </c>
      <c r="D13" s="14" t="s">
        <v>3</v>
      </c>
      <c r="E13" s="9">
        <v>88789</v>
      </c>
      <c r="F13" s="14" t="s">
        <v>3</v>
      </c>
      <c r="G13" s="1"/>
    </row>
    <row r="14" spans="1:7" x14ac:dyDescent="0.25">
      <c r="A14" s="1"/>
      <c r="B14" s="24" t="s">
        <v>291</v>
      </c>
      <c r="C14" s="21">
        <v>0</v>
      </c>
      <c r="D14" s="14" t="s">
        <v>3</v>
      </c>
      <c r="E14" s="9">
        <v>27239</v>
      </c>
      <c r="F14" s="14" t="s">
        <v>3</v>
      </c>
      <c r="G14" s="1"/>
    </row>
    <row r="15" spans="1:7" x14ac:dyDescent="0.25">
      <c r="A15" s="1"/>
      <c r="B15" s="24" t="s">
        <v>292</v>
      </c>
      <c r="C15" s="21">
        <v>0</v>
      </c>
      <c r="D15" s="14" t="s">
        <v>3</v>
      </c>
      <c r="E15" s="9">
        <v>16580</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169850</v>
      </c>
      <c r="D19" s="13" t="s">
        <v>3</v>
      </c>
      <c r="E19" s="12">
        <f>SUM(E10:E18)</f>
        <v>1920090</v>
      </c>
      <c r="F19" s="13" t="s">
        <v>3</v>
      </c>
      <c r="G19" s="1"/>
    </row>
    <row r="20" spans="1:7" x14ac:dyDescent="0.25">
      <c r="A20" s="1"/>
      <c r="B20" s="33" t="s">
        <v>233</v>
      </c>
      <c r="C20" s="12">
        <f>C19*(1+'Fane 15. Nøgletal'!C16)</f>
        <v>183573.88</v>
      </c>
      <c r="D20" s="13" t="s">
        <v>3</v>
      </c>
      <c r="E20" s="12">
        <f>E19*(1+'Fane 15. Nøgletal'!C16)</f>
        <v>2075233.2719999999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QXI9Or8vpchr6FNGgbCF+4KZUK5dllENvSbuOUyYxN28j4+Fu7b3JB4kJaLgBfSF/AXh8QSiBAevnL9ehxntw==" saltValue="7gpFQTtkY8SbAae8m50je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184</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260</v>
      </c>
      <c r="C8" s="112"/>
      <c r="D8" s="112"/>
      <c r="E8" s="112"/>
      <c r="F8" s="113"/>
      <c r="G8" s="1"/>
    </row>
    <row r="9" spans="1:7" x14ac:dyDescent="0.25">
      <c r="A9" s="1"/>
      <c r="B9" s="83" t="s">
        <v>17</v>
      </c>
      <c r="C9" s="83" t="s">
        <v>11</v>
      </c>
      <c r="D9" s="84"/>
      <c r="E9" s="83" t="s">
        <v>28</v>
      </c>
      <c r="F9" s="32"/>
      <c r="G9" s="1"/>
    </row>
    <row r="10" spans="1:7" x14ac:dyDescent="0.25">
      <c r="A10" s="1"/>
      <c r="B10" s="24" t="s">
        <v>288</v>
      </c>
      <c r="C10" s="21">
        <v>160175</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160175</v>
      </c>
      <c r="D13" s="13" t="s">
        <v>3</v>
      </c>
      <c r="E13" s="12">
        <f>SUM(E10:E12)</f>
        <v>0</v>
      </c>
      <c r="F13" s="13" t="s">
        <v>3</v>
      </c>
      <c r="G13" s="1"/>
    </row>
    <row r="14" spans="1:7" x14ac:dyDescent="0.25">
      <c r="A14" s="1"/>
      <c r="B14" s="33" t="s">
        <v>235</v>
      </c>
      <c r="C14" s="12">
        <f>C13*(1+'Fane 15. Nøgletal'!C16)^2</f>
        <v>187105.004912</v>
      </c>
      <c r="D14" s="13" t="s">
        <v>3</v>
      </c>
      <c r="E14" s="12">
        <f>E13*(1+'Fane 15. Nøgletal'!C16)^2</f>
        <v>0</v>
      </c>
      <c r="F14" s="13" t="s">
        <v>3</v>
      </c>
      <c r="G14" s="1"/>
    </row>
    <row r="15" spans="1:7" x14ac:dyDescent="0.25">
      <c r="A15" s="1"/>
      <c r="B15" s="1"/>
      <c r="C15" s="1"/>
      <c r="D15" s="1"/>
      <c r="E15" s="1"/>
      <c r="F15" s="1"/>
      <c r="G15" s="1"/>
    </row>
    <row r="16" spans="1:7" x14ac:dyDescent="0.25">
      <c r="A16" s="1"/>
      <c r="B16" s="146"/>
      <c r="C16" s="146"/>
      <c r="D16" s="146"/>
      <c r="E16" s="146"/>
      <c r="F16" s="146"/>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6"/>
      <c r="C23" s="146"/>
      <c r="D23" s="146"/>
      <c r="E23" s="146"/>
      <c r="F23" s="146"/>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6"/>
      <c r="C30" s="146"/>
      <c r="D30" s="146"/>
      <c r="E30" s="146"/>
      <c r="F30" s="146"/>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d58A+2c0iPKWmiyDqcziFGNwkcWzLKyXB9hQqlrM6zzZQDcYoytRqHXV+O+AMPwwVyqD7QoDKMeB2yrpFX9CA==" saltValue="5qCx6rwt9jlTYpx6wH5y6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185</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1" t="s">
        <v>110</v>
      </c>
      <c r="C9" s="112"/>
      <c r="D9" s="112"/>
      <c r="E9" s="112"/>
      <c r="F9" s="113"/>
      <c r="G9" s="1"/>
    </row>
    <row r="10" spans="1:7" x14ac:dyDescent="0.25">
      <c r="A10" s="1"/>
      <c r="B10" s="138" t="s">
        <v>236</v>
      </c>
      <c r="C10" s="139"/>
      <c r="D10" s="140"/>
      <c r="E10" s="9">
        <v>1226810.4958360195</v>
      </c>
      <c r="F10" s="14" t="s">
        <v>3</v>
      </c>
      <c r="G10" s="1"/>
    </row>
    <row r="11" spans="1:7" x14ac:dyDescent="0.25">
      <c r="A11" s="1"/>
      <c r="B11" s="147" t="s">
        <v>10</v>
      </c>
      <c r="C11" s="148"/>
      <c r="D11" s="149"/>
      <c r="E11" s="9">
        <f>-E10*'Fane 5. Individuelt eff. krav'!G9</f>
        <v>-5179.8968140121788</v>
      </c>
      <c r="F11" s="14" t="s">
        <v>3</v>
      </c>
      <c r="G11" s="1"/>
    </row>
    <row r="12" spans="1:7" x14ac:dyDescent="0.25">
      <c r="A12" s="1"/>
      <c r="B12" s="147" t="s">
        <v>23</v>
      </c>
      <c r="C12" s="148"/>
      <c r="D12" s="149"/>
      <c r="E12" s="9">
        <f>-E10*'Fane 15. Nøgletal'!C33</f>
        <v>-24536.209916720392</v>
      </c>
      <c r="F12" s="14" t="s">
        <v>3</v>
      </c>
      <c r="G12" s="1"/>
    </row>
    <row r="13" spans="1:7" x14ac:dyDescent="0.25">
      <c r="A13" s="1"/>
      <c r="B13" s="111" t="s">
        <v>111</v>
      </c>
      <c r="C13" s="112"/>
      <c r="D13" s="113"/>
      <c r="E13" s="12">
        <f>SUM(E10:E12)*(1+'Fane 15. Nøgletal'!C16)^2</f>
        <v>1398360.2406971895</v>
      </c>
      <c r="F13" s="13" t="s">
        <v>3</v>
      </c>
      <c r="G13" s="1"/>
    </row>
    <row r="14" spans="1:7" x14ac:dyDescent="0.25">
      <c r="A14" s="1"/>
      <c r="B14" s="1"/>
      <c r="C14" s="1"/>
      <c r="D14" s="1"/>
      <c r="E14" s="1"/>
      <c r="F14" s="1"/>
      <c r="G14" s="1"/>
    </row>
    <row r="15" spans="1:7" ht="15" customHeight="1" x14ac:dyDescent="0.25">
      <c r="A15" s="1"/>
      <c r="B15" s="111" t="s">
        <v>124</v>
      </c>
      <c r="C15" s="112"/>
      <c r="D15" s="112"/>
      <c r="E15" s="112"/>
      <c r="F15" s="113"/>
      <c r="G15" s="1"/>
    </row>
    <row r="16" spans="1:7" x14ac:dyDescent="0.25">
      <c r="A16" s="1"/>
      <c r="B16" s="138" t="s">
        <v>236</v>
      </c>
      <c r="C16" s="139"/>
      <c r="D16" s="140"/>
      <c r="E16" s="9">
        <v>1226810.4958360195</v>
      </c>
      <c r="F16" s="14" t="s">
        <v>3</v>
      </c>
      <c r="G16" s="1"/>
    </row>
    <row r="17" spans="1:7" x14ac:dyDescent="0.25">
      <c r="A17" s="1"/>
      <c r="B17" s="147" t="s">
        <v>10</v>
      </c>
      <c r="C17" s="148"/>
      <c r="D17" s="149"/>
      <c r="E17" s="9">
        <f>-E16*'Fane 5. Individuelt eff. krav'!G9</f>
        <v>-5179.8968140121788</v>
      </c>
      <c r="F17" s="14" t="s">
        <v>3</v>
      </c>
      <c r="G17" s="1"/>
    </row>
    <row r="18" spans="1:7" x14ac:dyDescent="0.25">
      <c r="A18" s="1"/>
      <c r="B18" s="147" t="s">
        <v>23</v>
      </c>
      <c r="C18" s="148"/>
      <c r="D18" s="149"/>
      <c r="E18" s="9">
        <f>-E16*'Fane 15. Nøgletal'!C33</f>
        <v>-24536.209916720392</v>
      </c>
      <c r="F18" s="14" t="s">
        <v>3</v>
      </c>
      <c r="G18" s="1"/>
    </row>
    <row r="19" spans="1:7" x14ac:dyDescent="0.25">
      <c r="A19" s="1"/>
      <c r="B19" s="111" t="s">
        <v>125</v>
      </c>
      <c r="C19" s="112"/>
      <c r="D19" s="113"/>
      <c r="E19" s="12">
        <f>SUM(E16:E18)*(1+'Fane 15. Nøgletal'!C16)^3</f>
        <v>1511347.7481455223</v>
      </c>
      <c r="F19" s="13" t="s">
        <v>3</v>
      </c>
      <c r="G19" s="1"/>
    </row>
    <row r="20" spans="1:7" x14ac:dyDescent="0.25">
      <c r="A20" s="1"/>
      <c r="B20" s="1"/>
      <c r="C20" s="1"/>
      <c r="D20" s="1"/>
      <c r="E20" s="1"/>
      <c r="F20" s="1"/>
      <c r="G20" s="1"/>
    </row>
    <row r="21" spans="1:7" ht="15" customHeight="1" x14ac:dyDescent="0.25">
      <c r="A21" s="1"/>
      <c r="B21" s="111" t="s">
        <v>145</v>
      </c>
      <c r="C21" s="112"/>
      <c r="D21" s="112"/>
      <c r="E21" s="112"/>
      <c r="F21" s="113"/>
      <c r="G21" s="1"/>
    </row>
    <row r="22" spans="1:7" x14ac:dyDescent="0.25">
      <c r="A22" s="1"/>
      <c r="B22" s="138" t="s">
        <v>236</v>
      </c>
      <c r="C22" s="139"/>
      <c r="D22" s="140"/>
      <c r="E22" s="9">
        <v>1226810.4958360195</v>
      </c>
      <c r="F22" s="14" t="s">
        <v>3</v>
      </c>
      <c r="G22" s="1"/>
    </row>
    <row r="23" spans="1:7" x14ac:dyDescent="0.25">
      <c r="A23" s="1"/>
      <c r="B23" s="147" t="s">
        <v>10</v>
      </c>
      <c r="C23" s="148"/>
      <c r="D23" s="149"/>
      <c r="E23" s="9">
        <f>-E22*'Fane 5. Individuelt eff. krav'!G9</f>
        <v>-5179.8968140121788</v>
      </c>
      <c r="F23" s="14" t="s">
        <v>3</v>
      </c>
      <c r="G23" s="1"/>
    </row>
    <row r="24" spans="1:7" x14ac:dyDescent="0.25">
      <c r="A24" s="1"/>
      <c r="B24" s="147" t="s">
        <v>23</v>
      </c>
      <c r="C24" s="148"/>
      <c r="D24" s="149"/>
      <c r="E24" s="9">
        <f>-E22*'Fane 15. Nøgletal'!C33</f>
        <v>-24536.209916720392</v>
      </c>
      <c r="F24" s="14" t="s">
        <v>3</v>
      </c>
      <c r="G24" s="1"/>
    </row>
    <row r="25" spans="1:7" x14ac:dyDescent="0.25">
      <c r="A25" s="1"/>
      <c r="B25" s="111" t="s">
        <v>146</v>
      </c>
      <c r="C25" s="112"/>
      <c r="D25" s="113"/>
      <c r="E25" s="12">
        <f>SUM(E22:E24)*(1+'Fane 15. Nøgletal'!C16)^4</f>
        <v>1633464.6461956806</v>
      </c>
      <c r="F25" s="13" t="s">
        <v>3</v>
      </c>
      <c r="G25" s="1"/>
    </row>
    <row r="26" spans="1:7" x14ac:dyDescent="0.25">
      <c r="A26" s="1"/>
      <c r="B26" s="1"/>
      <c r="C26" s="1"/>
      <c r="D26" s="1"/>
      <c r="E26" s="1"/>
      <c r="F26" s="1"/>
      <c r="G26" s="1"/>
    </row>
    <row r="27" spans="1:7" ht="15" customHeight="1" x14ac:dyDescent="0.25">
      <c r="A27" s="1"/>
      <c r="B27" s="111" t="s">
        <v>237</v>
      </c>
      <c r="C27" s="112"/>
      <c r="D27" s="112"/>
      <c r="E27" s="112"/>
      <c r="F27" s="113"/>
      <c r="G27" s="1"/>
    </row>
    <row r="28" spans="1:7" ht="14.25" customHeight="1" x14ac:dyDescent="0.25">
      <c r="A28" s="1"/>
      <c r="B28" s="138" t="s">
        <v>236</v>
      </c>
      <c r="C28" s="139"/>
      <c r="D28" s="140"/>
      <c r="E28" s="9">
        <v>1226810.4958360195</v>
      </c>
      <c r="F28" s="14" t="s">
        <v>3</v>
      </c>
      <c r="G28" s="1"/>
    </row>
    <row r="29" spans="1:7" x14ac:dyDescent="0.25">
      <c r="A29" s="1"/>
      <c r="B29" s="147" t="s">
        <v>10</v>
      </c>
      <c r="C29" s="148"/>
      <c r="D29" s="149"/>
      <c r="E29" s="9">
        <f>-E28*'Fane 5. Individuelt eff. krav'!G9</f>
        <v>-5179.8968140121788</v>
      </c>
      <c r="F29" s="14" t="s">
        <v>3</v>
      </c>
      <c r="G29" s="1"/>
    </row>
    <row r="30" spans="1:7" x14ac:dyDescent="0.25">
      <c r="A30" s="1"/>
      <c r="B30" s="147" t="s">
        <v>23</v>
      </c>
      <c r="C30" s="148"/>
      <c r="D30" s="149"/>
      <c r="E30" s="9">
        <f>-E28*'Fane 15. Nøgletal'!C33</f>
        <v>-24536.209916720392</v>
      </c>
      <c r="F30" s="14" t="s">
        <v>3</v>
      </c>
      <c r="G30" s="1"/>
    </row>
    <row r="31" spans="1:7" x14ac:dyDescent="0.25">
      <c r="A31" s="1"/>
      <c r="B31" s="111" t="s">
        <v>238</v>
      </c>
      <c r="C31" s="112"/>
      <c r="D31" s="113"/>
      <c r="E31" s="12">
        <f>SUM(E28:E30)*(1+'Fane 15. Nøgletal'!C16)^5</f>
        <v>1765448.5896082914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kUL27ObdvRnu5tGOhbnNeKIy9JJynMO3Hhm0YoTin4EEEcscHaCIiAzdc0BRNHodsmJ3H1tRhkeH5227HhcHw==" saltValue="ZGnAOghIj8JXe/UNaVVB/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186</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112</v>
      </c>
      <c r="C8" s="112"/>
      <c r="D8" s="112"/>
      <c r="E8" s="112"/>
      <c r="F8" s="113"/>
      <c r="G8" s="1"/>
    </row>
    <row r="9" spans="1:7" ht="15" customHeight="1" x14ac:dyDescent="0.25">
      <c r="A9" s="1"/>
      <c r="B9" s="31" t="s">
        <v>113</v>
      </c>
      <c r="C9" s="31" t="s">
        <v>11</v>
      </c>
      <c r="D9" s="32"/>
      <c r="E9" s="31" t="s">
        <v>28</v>
      </c>
      <c r="F9" s="32"/>
      <c r="G9" s="1"/>
    </row>
    <row r="10" spans="1:7" ht="26.25" x14ac:dyDescent="0.25">
      <c r="A10" s="1"/>
      <c r="B10" s="68"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Y/UcCVSwURiOCuZev7iRgfyO3QYTaMEcnDNFDmmANDcUA9KGmt9ikVfz7/oxoxdTyyYxUHLgouzuqYPPL7kcQ==" saltValue="zoB9xb1hkrd2k06vAfnw3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t="s">
        <v>295</v>
      </c>
      <c r="B1" s="1"/>
      <c r="C1" s="1"/>
      <c r="D1" s="1"/>
      <c r="E1" s="1"/>
      <c r="F1" s="1"/>
      <c r="G1" s="1"/>
    </row>
    <row r="2" spans="1:7" x14ac:dyDescent="0.25">
      <c r="A2" s="1"/>
      <c r="B2" s="1"/>
      <c r="C2" s="1"/>
      <c r="D2" s="1"/>
      <c r="E2" s="1"/>
      <c r="F2" s="1"/>
      <c r="G2" s="1"/>
    </row>
    <row r="3" spans="1:7" ht="15" customHeight="1" x14ac:dyDescent="0.25">
      <c r="A3" s="1"/>
      <c r="B3" s="110" t="s">
        <v>187</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240</v>
      </c>
      <c r="C9" s="112"/>
      <c r="D9" s="112"/>
      <c r="E9" s="112"/>
      <c r="F9" s="113"/>
      <c r="G9" s="1"/>
    </row>
    <row r="10" spans="1:7" ht="26.25" customHeight="1" x14ac:dyDescent="0.25">
      <c r="A10" s="1"/>
      <c r="B10" s="31" t="s">
        <v>18</v>
      </c>
      <c r="C10" s="141" t="s">
        <v>11</v>
      </c>
      <c r="D10" s="143"/>
      <c r="E10" s="141" t="s">
        <v>28</v>
      </c>
      <c r="F10" s="143"/>
      <c r="G10" s="1"/>
    </row>
    <row r="11" spans="1:7" x14ac:dyDescent="0.25">
      <c r="A11" s="1"/>
      <c r="B11" s="68"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6"/>
      <c r="C15" s="146"/>
      <c r="D15" s="146"/>
      <c r="E15" s="146"/>
      <c r="F15" s="146"/>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6"/>
      <c r="C21" s="146"/>
      <c r="D21" s="146"/>
      <c r="E21" s="146"/>
      <c r="F21" s="146"/>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6"/>
      <c r="C27" s="146"/>
      <c r="D27" s="146"/>
      <c r="E27" s="146"/>
      <c r="F27" s="146"/>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6KTIvg0IqmSDvy0jiBi1KXvXeNCnw9Jy5mdVIsZH/rme33RGI4X8VhpVaaSLqk5erAk5b0jnD1IuIylmySxInQ==" saltValue="x3mkp1WpHgsNtqbc/TLox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44875241.842580147</v>
      </c>
      <c r="D9" s="8" t="s">
        <v>3</v>
      </c>
      <c r="E9" s="1"/>
    </row>
    <row r="10" spans="1:5" ht="17.25" customHeight="1" x14ac:dyDescent="0.25">
      <c r="A10" s="1"/>
      <c r="B10" s="85" t="s">
        <v>36</v>
      </c>
      <c r="C10" s="7">
        <f>'Fane 11.1. Varige tillæg'!C20</f>
        <v>183573.88</v>
      </c>
      <c r="D10" s="8" t="s">
        <v>3</v>
      </c>
      <c r="E10" s="1"/>
    </row>
    <row r="11" spans="1:5" ht="17.25" customHeight="1" x14ac:dyDescent="0.25">
      <c r="A11" s="1"/>
      <c r="B11" s="85" t="s">
        <v>37</v>
      </c>
      <c r="C11" s="9">
        <f>'Fane 11.1. Varige tillæg'!E20</f>
        <v>2075233.2719999999</v>
      </c>
      <c r="D11" s="8" t="s">
        <v>3</v>
      </c>
      <c r="E11" s="1"/>
    </row>
    <row r="12" spans="1:5" ht="17.25" customHeight="1" x14ac:dyDescent="0.25">
      <c r="A12" s="1"/>
      <c r="B12" s="85" t="s">
        <v>26</v>
      </c>
      <c r="C12" s="9">
        <f>-'Fane 14. Bortfald'!C13</f>
        <v>0</v>
      </c>
      <c r="D12" s="8" t="s">
        <v>3</v>
      </c>
      <c r="E12" s="1"/>
    </row>
    <row r="13" spans="1:5" ht="17.25" customHeight="1" x14ac:dyDescent="0.25">
      <c r="A13" s="1"/>
      <c r="B13" s="85" t="s">
        <v>25</v>
      </c>
      <c r="C13" s="9">
        <f>-'Fane 14. Bortfald'!E13</f>
        <v>0</v>
      </c>
      <c r="D13" s="8" t="s">
        <v>3</v>
      </c>
      <c r="E13" s="1"/>
    </row>
    <row r="14" spans="1:5" ht="17.25" customHeight="1" x14ac:dyDescent="0.25">
      <c r="A14" s="1"/>
      <c r="B14" s="85" t="s">
        <v>105</v>
      </c>
      <c r="C14" s="9">
        <f>'Fane 13. Tilknyttet virksomhed'!C14</f>
        <v>0</v>
      </c>
      <c r="D14" s="8" t="s">
        <v>3</v>
      </c>
      <c r="E14" s="1"/>
    </row>
    <row r="15" spans="1:5" ht="17.25" customHeight="1" x14ac:dyDescent="0.25">
      <c r="A15" s="1"/>
      <c r="B15" s="85" t="s">
        <v>106</v>
      </c>
      <c r="C15" s="9">
        <f>'Fane 13. Tilknyttet virksomhed'!E14</f>
        <v>0</v>
      </c>
      <c r="D15" s="8" t="s">
        <v>3</v>
      </c>
      <c r="E15" s="1"/>
    </row>
    <row r="16" spans="1:5" ht="17.25" customHeight="1" x14ac:dyDescent="0.25">
      <c r="A16" s="1"/>
      <c r="B16" s="85" t="s">
        <v>19</v>
      </c>
      <c r="C16" s="41">
        <f>SUM(C9)*'Fane 15. Nøgletal'!C16+SUM(C10:C15)*'Fane 15. Nøgletal'!C16</f>
        <v>3808431.1587620755</v>
      </c>
      <c r="D16" s="8" t="s">
        <v>3</v>
      </c>
      <c r="E16" s="1"/>
    </row>
    <row r="17" spans="1:5" ht="17.25" customHeight="1" x14ac:dyDescent="0.25">
      <c r="A17" s="1"/>
      <c r="B17" s="85" t="s">
        <v>10</v>
      </c>
      <c r="C17" s="41">
        <f>-SUM(C9,C10:C16)*'Fane 5. Individuelt eff. krav'!G9</f>
        <v>-215091.72895065197</v>
      </c>
      <c r="D17" s="8" t="s">
        <v>3</v>
      </c>
      <c r="E17" s="1"/>
    </row>
    <row r="18" spans="1:5" ht="17.25" customHeight="1" x14ac:dyDescent="0.25">
      <c r="A18" s="1"/>
      <c r="B18" s="85" t="s">
        <v>23</v>
      </c>
      <c r="C18" s="41">
        <f>-'Fane 4.1. Gen. krav - drift'!G54</f>
        <v>-272508.05733177013</v>
      </c>
      <c r="D18" s="8" t="s">
        <v>3</v>
      </c>
      <c r="E18" s="1"/>
    </row>
    <row r="19" spans="1:5" ht="17.25" customHeight="1" x14ac:dyDescent="0.25">
      <c r="A19" s="1"/>
      <c r="B19" s="85" t="s">
        <v>24</v>
      </c>
      <c r="C19" s="41">
        <f>-'Fane 4.2. Gen. krav - anlæg'!G55</f>
        <v>0</v>
      </c>
      <c r="D19" s="8" t="s">
        <v>3</v>
      </c>
      <c r="E19" s="47"/>
    </row>
    <row r="20" spans="1:5" ht="17.25" customHeight="1" x14ac:dyDescent="0.25">
      <c r="A20" s="1"/>
      <c r="B20" s="79" t="s">
        <v>21</v>
      </c>
      <c r="C20" s="10">
        <f>SUM(C9:C19)</f>
        <v>50454880.367059804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3583604.63080128</v>
      </c>
      <c r="D22" s="11" t="s">
        <v>3</v>
      </c>
      <c r="E22" s="1"/>
    </row>
    <row r="23" spans="1:5" ht="15" customHeight="1" x14ac:dyDescent="0.25">
      <c r="A23" s="1"/>
      <c r="B23" s="33" t="s">
        <v>74</v>
      </c>
      <c r="C23" s="28"/>
      <c r="D23" s="19"/>
      <c r="E23" s="1"/>
    </row>
    <row r="24" spans="1:5" ht="15" customHeight="1" x14ac:dyDescent="0.25">
      <c r="A24" s="1"/>
      <c r="B24" s="79" t="s">
        <v>74</v>
      </c>
      <c r="C24" s="10">
        <f>'Fane 12. Periodevise driftsomk.'!E13</f>
        <v>1398360.2406971895</v>
      </c>
      <c r="D24" s="11" t="s">
        <v>3</v>
      </c>
      <c r="E24" s="1"/>
    </row>
    <row r="25" spans="1:5" ht="15" customHeight="1" x14ac:dyDescent="0.25">
      <c r="A25" s="1"/>
      <c r="B25" s="44" t="s">
        <v>73</v>
      </c>
      <c r="C25" s="42"/>
      <c r="D25" s="43"/>
      <c r="E25" s="1"/>
    </row>
    <row r="26" spans="1:5" ht="15" customHeight="1" x14ac:dyDescent="0.25">
      <c r="A26" s="1"/>
      <c r="B26" s="85" t="s">
        <v>158</v>
      </c>
      <c r="C26" s="41">
        <f>'Fane 11.2. Engangstillæg'!C14</f>
        <v>187105.004912</v>
      </c>
      <c r="D26" s="8" t="s">
        <v>3</v>
      </c>
      <c r="E26" s="1"/>
    </row>
    <row r="27" spans="1:5" ht="15" customHeight="1" x14ac:dyDescent="0.25">
      <c r="A27" s="1"/>
      <c r="B27" s="85" t="s">
        <v>70</v>
      </c>
      <c r="C27" s="41">
        <f>'Fane 11.2. Engangstillæg'!E14</f>
        <v>0</v>
      </c>
      <c r="D27" s="8" t="s">
        <v>3</v>
      </c>
      <c r="E27" s="1"/>
    </row>
    <row r="28" spans="1:5" ht="15" customHeight="1" x14ac:dyDescent="0.25">
      <c r="A28" s="1"/>
      <c r="B28" s="85" t="s">
        <v>161</v>
      </c>
      <c r="C28" s="41">
        <f>-C26*('Fane 15. Nøgletal'!C33+'Fane 5. Individuelt eff. krav'!G9)</f>
        <v>-4532.1036253690563</v>
      </c>
      <c r="D28" s="8" t="s">
        <v>3</v>
      </c>
      <c r="E28" s="1"/>
    </row>
    <row r="29" spans="1:5" ht="15" customHeight="1" x14ac:dyDescent="0.25">
      <c r="A29" s="1"/>
      <c r="B29" s="85" t="s">
        <v>162</v>
      </c>
      <c r="C29" s="41">
        <f>-C27*('Fane 15. Nøgletal'!C28+'Fane 5. Individuelt eff. krav'!G9)</f>
        <v>0</v>
      </c>
      <c r="D29" s="8" t="s">
        <v>3</v>
      </c>
      <c r="E29" s="1"/>
    </row>
    <row r="30" spans="1:5" ht="15" customHeight="1" x14ac:dyDescent="0.25">
      <c r="A30" s="1"/>
      <c r="B30" s="67" t="s">
        <v>75</v>
      </c>
      <c r="C30" s="10">
        <f>SUM(C26:C29)</f>
        <v>182572.90128663095</v>
      </c>
      <c r="D30" s="11" t="s">
        <v>3</v>
      </c>
      <c r="E30" s="1"/>
    </row>
    <row r="31" spans="1:5" x14ac:dyDescent="0.25">
      <c r="A31" s="1"/>
      <c r="B31" s="33" t="s">
        <v>116</v>
      </c>
      <c r="C31" s="28"/>
      <c r="D31" s="19"/>
      <c r="E31" s="1"/>
    </row>
    <row r="32" spans="1:5" x14ac:dyDescent="0.25">
      <c r="A32" s="1"/>
      <c r="B32" s="31" t="s">
        <v>138</v>
      </c>
      <c r="C32" s="10">
        <f>'Fane 7. Kontrol af ØR2022'!E31</f>
        <v>-4898442</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7" t="s">
        <v>136</v>
      </c>
      <c r="C36" s="10">
        <f>'Fane 8. Skattesagen'!G13</f>
        <v>0</v>
      </c>
      <c r="D36" s="11" t="s">
        <v>3</v>
      </c>
      <c r="E36" s="1"/>
    </row>
    <row r="37" spans="1:5" x14ac:dyDescent="0.25">
      <c r="A37" s="1"/>
      <c r="B37" s="30" t="s">
        <v>293</v>
      </c>
      <c r="C37" s="28"/>
      <c r="D37" s="19"/>
      <c r="E37" s="1"/>
    </row>
    <row r="38" spans="1:5" x14ac:dyDescent="0.25">
      <c r="A38" s="1"/>
      <c r="B38" s="67" t="s">
        <v>294</v>
      </c>
      <c r="C38" s="10">
        <v>959428.78468680999</v>
      </c>
      <c r="D38" s="11" t="s">
        <v>3</v>
      </c>
      <c r="E38" s="1"/>
    </row>
    <row r="39" spans="1:5" x14ac:dyDescent="0.25">
      <c r="A39" s="1"/>
      <c r="B39" s="33" t="s">
        <v>108</v>
      </c>
      <c r="C39" s="49">
        <f>SUM(C34,C32,C24,C30,C22,C20,C36,C38)</f>
        <v>51680404.924531713</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BBR23f4B98SrUrQYBjSyePt8y2lv05ZYiG0/gxR+I0+urGWW5idL4leFmTA86WKCc7QeUQWCVrtrdYjJDGjxcw==" saltValue="ZXMKVnHrfettAlssOXR5K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0" t="s">
        <v>188</v>
      </c>
      <c r="C3" s="110"/>
      <c r="D3" s="1"/>
    </row>
    <row r="4" spans="1:4" ht="25.5" customHeight="1" x14ac:dyDescent="0.25">
      <c r="A4" s="1"/>
      <c r="B4" s="110"/>
      <c r="C4" s="11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8" t="s">
        <v>94</v>
      </c>
      <c r="C9" s="25">
        <v>1.2699999999999999E-2</v>
      </c>
      <c r="D9" s="1"/>
    </row>
    <row r="10" spans="1:4" x14ac:dyDescent="0.25">
      <c r="A10" s="1"/>
      <c r="B10" s="78" t="s">
        <v>95</v>
      </c>
      <c r="C10" s="25">
        <v>1.7500000000000002E-2</v>
      </c>
      <c r="D10" s="1"/>
    </row>
    <row r="11" spans="1:4" x14ac:dyDescent="0.25">
      <c r="A11" s="1"/>
      <c r="B11" s="78"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8"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8" t="s">
        <v>96</v>
      </c>
      <c r="C21" s="22">
        <v>9.1000000000000004E-3</v>
      </c>
      <c r="D21" s="1"/>
    </row>
    <row r="22" spans="1:4" x14ac:dyDescent="0.25">
      <c r="A22" s="1"/>
      <c r="B22" s="78" t="s">
        <v>118</v>
      </c>
      <c r="C22" s="22">
        <v>1.77E-2</v>
      </c>
      <c r="D22" s="1"/>
    </row>
    <row r="23" spans="1:4" x14ac:dyDescent="0.25">
      <c r="A23" s="1"/>
      <c r="B23" s="78" t="s">
        <v>119</v>
      </c>
      <c r="C23" s="22">
        <v>8.6999999999999994E-3</v>
      </c>
      <c r="D23" s="1"/>
    </row>
    <row r="24" spans="1:4" x14ac:dyDescent="0.25">
      <c r="A24" s="1"/>
      <c r="B24" s="78" t="s">
        <v>97</v>
      </c>
      <c r="C24" s="36">
        <v>2.8400000000000002E-2</v>
      </c>
      <c r="D24" s="1"/>
    </row>
    <row r="25" spans="1:4" x14ac:dyDescent="0.25">
      <c r="A25" s="1"/>
      <c r="B25" s="78" t="s">
        <v>120</v>
      </c>
      <c r="C25" s="36">
        <v>2.75E-2</v>
      </c>
      <c r="D25" s="1"/>
    </row>
    <row r="26" spans="1:4" x14ac:dyDescent="0.25">
      <c r="A26" s="1"/>
      <c r="B26" s="78"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8"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vl+kOPBDav+x3YfmwBgmuv7npxcYo4fLk1jrc0svKNL7eOow3urAVxPPPuhwuu78BIEprq06BMiJq6OFRq8Q==" saltValue="4/rXHFaIj59nt5O8AP7EZ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202</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50454880.367059804</v>
      </c>
      <c r="D9" s="8" t="s">
        <v>3</v>
      </c>
      <c r="E9" s="1"/>
    </row>
    <row r="10" spans="1:5" ht="15" customHeight="1" x14ac:dyDescent="0.25">
      <c r="A10" s="1"/>
      <c r="B10" s="26" t="s">
        <v>19</v>
      </c>
      <c r="C10" s="7">
        <f>SUM(C9:C9)*'Fane 15. Nøgletal'!C16</f>
        <v>4076754.3336584321</v>
      </c>
      <c r="D10" s="8" t="s">
        <v>3</v>
      </c>
      <c r="E10" s="1"/>
    </row>
    <row r="11" spans="1:5" ht="15" customHeight="1" x14ac:dyDescent="0.25">
      <c r="A11" s="1"/>
      <c r="B11" s="26" t="s">
        <v>10</v>
      </c>
      <c r="C11" s="9">
        <f>-SUM(C9:C10)*'Fane 5. Individuelt eff. krav'!G9</f>
        <v>-230246.02561509405</v>
      </c>
      <c r="D11" s="8" t="s">
        <v>3</v>
      </c>
      <c r="E11" s="1"/>
    </row>
    <row r="12" spans="1:5" ht="15" customHeight="1" x14ac:dyDescent="0.25">
      <c r="A12" s="1"/>
      <c r="B12" s="26" t="s">
        <v>23</v>
      </c>
      <c r="C12" s="9">
        <f>-'Fane 4.1. Gen. krav - drift'!G59</f>
        <v>-288636.17419689364</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54012752.500906251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1321919.8449700233</v>
      </c>
      <c r="D16" s="11" t="s">
        <v>3</v>
      </c>
      <c r="E16" s="1"/>
    </row>
    <row r="17" spans="1:5" ht="15" customHeight="1" x14ac:dyDescent="0.25">
      <c r="A17" s="1"/>
      <c r="B17" s="33" t="s">
        <v>74</v>
      </c>
      <c r="C17" s="28"/>
      <c r="D17" s="19"/>
      <c r="E17" s="1"/>
    </row>
    <row r="18" spans="1:5" ht="15" customHeight="1" x14ac:dyDescent="0.25">
      <c r="A18" s="1"/>
      <c r="B18" s="79" t="s">
        <v>74</v>
      </c>
      <c r="C18" s="10">
        <f>'Fane 12. Periodevise driftsomk.'!E19</f>
        <v>1511347.7481455223</v>
      </c>
      <c r="D18" s="11" t="s">
        <v>3</v>
      </c>
      <c r="E18" s="1"/>
    </row>
    <row r="19" spans="1:5" x14ac:dyDescent="0.25">
      <c r="A19" s="1"/>
      <c r="B19" s="33" t="s">
        <v>116</v>
      </c>
      <c r="C19" s="28"/>
      <c r="D19" s="19"/>
      <c r="E19" s="1"/>
    </row>
    <row r="20" spans="1:5" ht="15" customHeight="1" x14ac:dyDescent="0.25">
      <c r="A20" s="1"/>
      <c r="B20" s="31" t="s">
        <v>138</v>
      </c>
      <c r="C20" s="10">
        <f>'Fane 7. Kontrol af ØR2022'!E31</f>
        <v>-4898442</v>
      </c>
      <c r="D20" s="11" t="s">
        <v>3</v>
      </c>
      <c r="E20" s="1"/>
    </row>
    <row r="21" spans="1:5" x14ac:dyDescent="0.25">
      <c r="A21" s="1"/>
      <c r="B21" s="30" t="s">
        <v>135</v>
      </c>
      <c r="C21" s="28"/>
      <c r="D21" s="19"/>
      <c r="E21" s="1"/>
    </row>
    <row r="22" spans="1:5" x14ac:dyDescent="0.25">
      <c r="A22" s="1"/>
      <c r="B22" s="67" t="s">
        <v>136</v>
      </c>
      <c r="C22" s="10">
        <f>'Fane 8. Skattesagen'!G14</f>
        <v>0</v>
      </c>
      <c r="D22" s="11" t="s">
        <v>3</v>
      </c>
      <c r="E22" s="1"/>
    </row>
    <row r="23" spans="1:5" x14ac:dyDescent="0.25">
      <c r="A23" s="1"/>
      <c r="B23" s="33" t="s">
        <v>122</v>
      </c>
      <c r="C23" s="12">
        <f>SUM(C14,C16,C18,C20,C22)</f>
        <v>51947578.094021797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tlqoXusEjYhReJdG3ApzwgoPQCwZ3x6gbBdMs1Gskp/0fGEV8U+/CmvAvRaFuFJZf66MYmgxoF/PvgLE+/DKg==" saltValue="/nnYGNug6x73sKI4kvTng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203</v>
      </c>
      <c r="C3" s="107"/>
      <c r="D3" s="107"/>
      <c r="E3" s="1"/>
    </row>
    <row r="4" spans="1:5" ht="15" customHeight="1" x14ac:dyDescent="0.25">
      <c r="A4" s="1"/>
      <c r="B4" s="107"/>
      <c r="C4" s="107"/>
      <c r="D4" s="107"/>
      <c r="E4" s="1"/>
    </row>
    <row r="5" spans="1:5" x14ac:dyDescent="0.25">
      <c r="A5" s="1"/>
      <c r="B5" s="108" t="s">
        <v>253</v>
      </c>
      <c r="C5" s="108"/>
      <c r="D5" s="108"/>
      <c r="E5" s="1"/>
    </row>
    <row r="6" spans="1:5" x14ac:dyDescent="0.25">
      <c r="A6" s="1"/>
      <c r="B6" s="70"/>
      <c r="C6" s="70"/>
      <c r="D6" s="70"/>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54012752.500906251</v>
      </c>
      <c r="D9" s="8" t="s">
        <v>3</v>
      </c>
      <c r="E9" s="1"/>
    </row>
    <row r="10" spans="1:5" ht="15" customHeight="1" x14ac:dyDescent="0.25">
      <c r="A10" s="1"/>
      <c r="B10" s="26" t="s">
        <v>19</v>
      </c>
      <c r="C10" s="7">
        <f>SUM(C9:C9)*'Fane 15. Nøgletal'!C16</f>
        <v>4364230.402073225</v>
      </c>
      <c r="D10" s="8" t="s">
        <v>3</v>
      </c>
      <c r="E10" s="1"/>
    </row>
    <row r="11" spans="1:5" ht="15" customHeight="1" x14ac:dyDescent="0.25">
      <c r="A11" s="1"/>
      <c r="B11" s="26" t="s">
        <v>10</v>
      </c>
      <c r="C11" s="9">
        <f>-SUM(C9:C10)*'Fane 5. Individuelt eff. krav'!G9</f>
        <v>-246482.03514490073</v>
      </c>
      <c r="D11" s="8" t="s">
        <v>3</v>
      </c>
      <c r="E11" s="1"/>
    </row>
    <row r="12" spans="1:5" ht="15" customHeight="1" x14ac:dyDescent="0.25">
      <c r="A12" s="1"/>
      <c r="B12" s="26" t="s">
        <v>23</v>
      </c>
      <c r="C12" s="9">
        <f>-'Fane 4.1. Gen. krav - drift'!G64</f>
        <v>-305718.81753056264</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57824782.050304011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1377028.9876436011</v>
      </c>
      <c r="D16" s="11" t="s">
        <v>3</v>
      </c>
      <c r="E16" s="1"/>
    </row>
    <row r="17" spans="1:5" ht="15" customHeight="1" x14ac:dyDescent="0.25">
      <c r="A17" s="1"/>
      <c r="B17" s="33" t="s">
        <v>74</v>
      </c>
      <c r="C17" s="28"/>
      <c r="D17" s="19"/>
      <c r="E17" s="1"/>
    </row>
    <row r="18" spans="1:5" ht="15" customHeight="1" x14ac:dyDescent="0.25">
      <c r="A18" s="1"/>
      <c r="B18" s="79" t="s">
        <v>74</v>
      </c>
      <c r="C18" s="10">
        <f>'Fane 12. Periodevise driftsomk.'!E25</f>
        <v>1633464.6461956806</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7" t="s">
        <v>136</v>
      </c>
      <c r="C22" s="10">
        <f>'Fane 8. Skattesagen'!G15</f>
        <v>0</v>
      </c>
      <c r="D22" s="11" t="s">
        <v>3</v>
      </c>
      <c r="E22" s="1"/>
    </row>
    <row r="23" spans="1:5" x14ac:dyDescent="0.25">
      <c r="A23" s="1"/>
      <c r="B23" s="33" t="s">
        <v>140</v>
      </c>
      <c r="C23" s="12">
        <f>SUM(C14,C16,C18,C20,C22)</f>
        <v>60835275.68414329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XuEhgdPRdqdoRlHjHjwnrO5Cf1DShr6Y4l5GrAYIpMlKyDNgZLO/mdQaDtZtLcLsGo1iXNe7o9jylm42pP3tw==" saltValue="Bcj8HNlgElCbH0tAQXRT2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204</v>
      </c>
      <c r="C3" s="107"/>
      <c r="D3" s="107"/>
      <c r="E3" s="1"/>
      <c r="F3" s="1"/>
    </row>
    <row r="4" spans="1:6" ht="15" customHeight="1" x14ac:dyDescent="0.25">
      <c r="A4" s="1"/>
      <c r="B4" s="107"/>
      <c r="C4" s="107"/>
      <c r="D4" s="107"/>
      <c r="E4" s="1"/>
      <c r="F4" s="1"/>
    </row>
    <row r="5" spans="1:6" x14ac:dyDescent="0.25">
      <c r="A5" s="1"/>
      <c r="B5" s="108" t="s">
        <v>253</v>
      </c>
      <c r="C5" s="108"/>
      <c r="D5" s="108"/>
      <c r="E5" s="1"/>
      <c r="F5" s="1"/>
    </row>
    <row r="6" spans="1:6" x14ac:dyDescent="0.25">
      <c r="A6" s="1"/>
      <c r="B6" s="70"/>
      <c r="C6" s="70"/>
      <c r="D6" s="70"/>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57824782.050304011</v>
      </c>
      <c r="D9" s="8" t="s">
        <v>3</v>
      </c>
      <c r="E9" s="1"/>
      <c r="F9" s="1"/>
    </row>
    <row r="10" spans="1:6" ht="15" customHeight="1" x14ac:dyDescent="0.25">
      <c r="A10" s="1"/>
      <c r="B10" s="26" t="s">
        <v>19</v>
      </c>
      <c r="C10" s="7">
        <f>SUM(C9:C9)*'Fane 15. Nøgletal'!C16</f>
        <v>4672242.3896645643</v>
      </c>
      <c r="D10" s="8" t="s">
        <v>3</v>
      </c>
      <c r="E10" s="1"/>
      <c r="F10" s="1"/>
    </row>
    <row r="11" spans="1:6" ht="15" customHeight="1" x14ac:dyDescent="0.25">
      <c r="A11" s="1"/>
      <c r="B11" s="26" t="s">
        <v>10</v>
      </c>
      <c r="C11" s="9">
        <f>-SUM(C9:C10)*'Fane 5. Individuelt eff. krav'!G9</f>
        <v>-263877.86775595479</v>
      </c>
      <c r="D11" s="8" t="s">
        <v>3</v>
      </c>
      <c r="E11" s="1"/>
      <c r="F11" s="1"/>
    </row>
    <row r="12" spans="1:6" ht="15" customHeight="1" x14ac:dyDescent="0.25">
      <c r="A12" s="1"/>
      <c r="B12" s="26" t="s">
        <v>23</v>
      </c>
      <c r="C12" s="9">
        <f>-'Fane 4.1. Gen. krav - drift'!G69</f>
        <v>-323812.4800272914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61909334.092185326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1436590.9490452041</v>
      </c>
      <c r="D16" s="11" t="s">
        <v>3</v>
      </c>
      <c r="E16" s="1"/>
      <c r="F16" s="1"/>
    </row>
    <row r="17" spans="1:6" ht="15" customHeight="1" x14ac:dyDescent="0.25">
      <c r="A17" s="1"/>
      <c r="B17" s="33" t="s">
        <v>74</v>
      </c>
      <c r="C17" s="28"/>
      <c r="D17" s="19"/>
      <c r="E17" s="1"/>
      <c r="F17" s="1"/>
    </row>
    <row r="18" spans="1:6" ht="15" customHeight="1" x14ac:dyDescent="0.25">
      <c r="A18" s="1"/>
      <c r="B18" s="79" t="s">
        <v>74</v>
      </c>
      <c r="C18" s="10">
        <f>'Fane 12. Periodevise driftsomk.'!E31</f>
        <v>1765448.5896082914</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7" t="s">
        <v>136</v>
      </c>
      <c r="C22" s="10">
        <f>'Fane 8. Skattesagen'!G16</f>
        <v>0</v>
      </c>
      <c r="D22" s="11" t="s">
        <v>3</v>
      </c>
      <c r="E22" s="1"/>
      <c r="F22" s="1"/>
    </row>
    <row r="23" spans="1:6" x14ac:dyDescent="0.25">
      <c r="A23" s="1"/>
      <c r="B23" s="33" t="s">
        <v>209</v>
      </c>
      <c r="C23" s="12">
        <f>SUM(C14,C16,C18,C20,C22)</f>
        <v>65111373.630838819</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sj6i3Ht9mUHfBnV4FLIx8aSR2wm/Y06W/OntEBSDiYSOyMAGvI9XOs1mtYXQc1O4ab+4NOSY5ZCW/5fFNO/DHA==" saltValue="swE3HFguTeLK0cg4HGU8i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0" t="s">
        <v>205</v>
      </c>
      <c r="C3" s="110"/>
      <c r="D3" s="110"/>
      <c r="E3" s="1"/>
    </row>
    <row r="4" spans="1:5"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45941521.339355789</v>
      </c>
      <c r="D9" s="8" t="s">
        <v>3</v>
      </c>
      <c r="E9" s="1"/>
    </row>
    <row r="10" spans="1:5" x14ac:dyDescent="0.25">
      <c r="A10" s="1"/>
      <c r="B10" s="85" t="s">
        <v>36</v>
      </c>
      <c r="C10" s="7">
        <v>38140.112400000005</v>
      </c>
      <c r="D10" s="8" t="s">
        <v>3</v>
      </c>
      <c r="E10" s="1"/>
    </row>
    <row r="11" spans="1:5" x14ac:dyDescent="0.25">
      <c r="A11" s="1"/>
      <c r="B11" s="85" t="s">
        <v>37</v>
      </c>
      <c r="C11" s="9">
        <v>174193.09800000003</v>
      </c>
      <c r="D11" s="8" t="s">
        <v>3</v>
      </c>
      <c r="E11" s="1"/>
    </row>
    <row r="12" spans="1:5" x14ac:dyDescent="0.25">
      <c r="A12" s="1"/>
      <c r="B12" s="85" t="s">
        <v>26</v>
      </c>
      <c r="C12" s="9">
        <v>0</v>
      </c>
      <c r="D12" s="8" t="s">
        <v>3</v>
      </c>
      <c r="E12" s="1"/>
    </row>
    <row r="13" spans="1:5" x14ac:dyDescent="0.25">
      <c r="A13" s="1"/>
      <c r="B13" s="85" t="s">
        <v>25</v>
      </c>
      <c r="C13" s="9">
        <v>0</v>
      </c>
      <c r="D13" s="8" t="s">
        <v>3</v>
      </c>
      <c r="E13" s="1"/>
    </row>
    <row r="14" spans="1:5" x14ac:dyDescent="0.25">
      <c r="A14" s="1"/>
      <c r="B14" s="85" t="s">
        <v>105</v>
      </c>
      <c r="C14" s="9">
        <v>0</v>
      </c>
      <c r="D14" s="8" t="s">
        <v>3</v>
      </c>
      <c r="E14" s="1"/>
    </row>
    <row r="15" spans="1:5" x14ac:dyDescent="0.25">
      <c r="A15" s="1"/>
      <c r="B15" s="85" t="s">
        <v>106</v>
      </c>
      <c r="C15" s="9">
        <v>0</v>
      </c>
      <c r="D15" s="8" t="s">
        <v>3</v>
      </c>
      <c r="E15" s="1"/>
    </row>
    <row r="16" spans="1:5" x14ac:dyDescent="0.25">
      <c r="A16" s="1"/>
      <c r="B16" s="85" t="s">
        <v>19</v>
      </c>
      <c r="C16" s="41">
        <v>159166.0827101141</v>
      </c>
      <c r="D16" s="8" t="s">
        <v>3</v>
      </c>
      <c r="E16" s="1"/>
    </row>
    <row r="17" spans="1:5" x14ac:dyDescent="0.25">
      <c r="A17" s="1"/>
      <c r="B17" s="85" t="s">
        <v>10</v>
      </c>
      <c r="C17" s="41">
        <v>-634362.51494704583</v>
      </c>
      <c r="D17" s="8" t="s">
        <v>3</v>
      </c>
      <c r="E17" s="1"/>
    </row>
    <row r="18" spans="1:5" x14ac:dyDescent="0.25">
      <c r="A18" s="1"/>
      <c r="B18" s="85" t="s">
        <v>23</v>
      </c>
      <c r="C18" s="41">
        <v>-253534.72516738373</v>
      </c>
      <c r="D18" s="8" t="s">
        <v>3</v>
      </c>
      <c r="E18" s="1"/>
    </row>
    <row r="19" spans="1:5" x14ac:dyDescent="0.25">
      <c r="A19" s="1"/>
      <c r="B19" s="85" t="s">
        <v>24</v>
      </c>
      <c r="C19" s="41">
        <v>-549881.54977132403</v>
      </c>
      <c r="D19" s="8" t="s">
        <v>3</v>
      </c>
      <c r="E19" s="47"/>
    </row>
    <row r="20" spans="1:5" x14ac:dyDescent="0.25">
      <c r="A20" s="1"/>
      <c r="B20" s="79" t="s">
        <v>21</v>
      </c>
      <c r="C20" s="10">
        <v>44875241.842580147</v>
      </c>
      <c r="D20" s="11" t="s">
        <v>3</v>
      </c>
      <c r="E20" s="1"/>
    </row>
    <row r="21" spans="1:5" x14ac:dyDescent="0.25">
      <c r="A21" s="1"/>
      <c r="B21" s="33" t="s">
        <v>12</v>
      </c>
      <c r="C21" s="28"/>
      <c r="D21" s="19"/>
      <c r="E21" s="1"/>
    </row>
    <row r="22" spans="1:5" x14ac:dyDescent="0.25">
      <c r="A22" s="1"/>
      <c r="B22" s="31" t="s">
        <v>12</v>
      </c>
      <c r="C22" s="10">
        <v>1376993.5412016001</v>
      </c>
      <c r="D22" s="11" t="s">
        <v>3</v>
      </c>
      <c r="E22" s="1"/>
    </row>
    <row r="23" spans="1:5" x14ac:dyDescent="0.25">
      <c r="A23" s="1"/>
      <c r="B23" s="33" t="s">
        <v>74</v>
      </c>
      <c r="C23" s="28"/>
      <c r="D23" s="19"/>
      <c r="E23" s="1"/>
    </row>
    <row r="24" spans="1:5" x14ac:dyDescent="0.25">
      <c r="A24" s="1"/>
      <c r="B24" s="79" t="s">
        <v>74</v>
      </c>
      <c r="C24" s="10">
        <v>1267196.4721268672</v>
      </c>
      <c r="D24" s="11" t="s">
        <v>3</v>
      </c>
      <c r="E24" s="1"/>
    </row>
    <row r="25" spans="1:5" x14ac:dyDescent="0.25">
      <c r="A25" s="1"/>
      <c r="B25" s="44" t="s">
        <v>73</v>
      </c>
      <c r="C25" s="42"/>
      <c r="D25" s="43"/>
      <c r="E25" s="1"/>
    </row>
    <row r="26" spans="1:5" x14ac:dyDescent="0.25">
      <c r="A26" s="1"/>
      <c r="B26" s="85" t="s">
        <v>158</v>
      </c>
      <c r="C26" s="9">
        <v>0</v>
      </c>
      <c r="D26" s="8" t="s">
        <v>3</v>
      </c>
      <c r="E26" s="1"/>
    </row>
    <row r="27" spans="1:5" x14ac:dyDescent="0.25">
      <c r="A27" s="1"/>
      <c r="B27" s="85" t="s">
        <v>70</v>
      </c>
      <c r="C27" s="9">
        <v>0</v>
      </c>
      <c r="D27" s="8" t="s">
        <v>3</v>
      </c>
      <c r="E27" s="1"/>
    </row>
    <row r="28" spans="1:5" x14ac:dyDescent="0.25">
      <c r="A28" s="1"/>
      <c r="B28" s="85" t="s">
        <v>161</v>
      </c>
      <c r="C28" s="9">
        <v>0</v>
      </c>
      <c r="D28" s="8" t="s">
        <v>3</v>
      </c>
      <c r="E28" s="1"/>
    </row>
    <row r="29" spans="1:5" x14ac:dyDescent="0.25">
      <c r="A29" s="1"/>
      <c r="B29" s="85" t="s">
        <v>162</v>
      </c>
      <c r="C29" s="9">
        <v>0</v>
      </c>
      <c r="D29" s="8" t="s">
        <v>3</v>
      </c>
      <c r="E29" s="1"/>
    </row>
    <row r="30" spans="1:5" x14ac:dyDescent="0.25">
      <c r="A30" s="1"/>
      <c r="B30" s="67"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-3044948.0627847589</v>
      </c>
      <c r="D34" s="11" t="s">
        <v>3</v>
      </c>
      <c r="E34" s="1"/>
    </row>
    <row r="35" spans="1:5" x14ac:dyDescent="0.25">
      <c r="A35" s="1"/>
      <c r="B35" s="30" t="s">
        <v>135</v>
      </c>
      <c r="C35" s="28"/>
      <c r="D35" s="19"/>
      <c r="E35" s="1"/>
    </row>
    <row r="36" spans="1:5" x14ac:dyDescent="0.25">
      <c r="A36" s="1"/>
      <c r="B36" s="67" t="s">
        <v>136</v>
      </c>
      <c r="C36" s="10">
        <v>0</v>
      </c>
      <c r="D36" s="11" t="s">
        <v>3</v>
      </c>
      <c r="E36" s="1"/>
    </row>
    <row r="37" spans="1:5" x14ac:dyDescent="0.25">
      <c r="A37" s="1"/>
      <c r="B37" s="33" t="s">
        <v>267</v>
      </c>
      <c r="C37" s="49">
        <v>44474483.793123856</v>
      </c>
      <c r="D37" s="30" t="s">
        <v>3</v>
      </c>
      <c r="E37" s="1"/>
    </row>
    <row r="38" spans="1:5" ht="30" customHeight="1" x14ac:dyDescent="0.25">
      <c r="A38" s="1"/>
      <c r="B38" s="109" t="s">
        <v>268</v>
      </c>
      <c r="C38" s="109"/>
      <c r="D38" s="109"/>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J5uAjZOj6ISKTul8AA1B6YyFRcPSBnul0p5gDJ6fgBYr5L5MPr4EB0T/F8FRW29QZ479jQiVxF4Bp8PlcOpHw==" saltValue="GMCxDTieTxy85pF7Q/G7f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0" t="s">
        <v>91</v>
      </c>
      <c r="C2" s="110"/>
      <c r="D2" s="110"/>
      <c r="E2" s="110"/>
      <c r="F2" s="110"/>
      <c r="G2" s="110"/>
      <c r="H2" s="110"/>
      <c r="I2" s="1"/>
    </row>
    <row r="3" spans="1:9" ht="28.5" customHeight="1" x14ac:dyDescent="0.25">
      <c r="A3" s="1"/>
      <c r="B3" s="110"/>
      <c r="C3" s="110"/>
      <c r="D3" s="110"/>
      <c r="E3" s="110"/>
      <c r="F3" s="110"/>
      <c r="G3" s="110"/>
      <c r="H3" s="110"/>
      <c r="I3" s="1"/>
    </row>
    <row r="4" spans="1:9" x14ac:dyDescent="0.25">
      <c r="A4" s="1"/>
      <c r="B4" s="111" t="s">
        <v>46</v>
      </c>
      <c r="C4" s="112"/>
      <c r="D4" s="112"/>
      <c r="E4" s="112"/>
      <c r="F4" s="112"/>
      <c r="G4" s="112"/>
      <c r="H4" s="113"/>
      <c r="I4" s="1"/>
    </row>
    <row r="5" spans="1:9" x14ac:dyDescent="0.25">
      <c r="A5" s="1"/>
      <c r="B5" s="114" t="s">
        <v>38</v>
      </c>
      <c r="C5" s="115"/>
      <c r="D5" s="115"/>
      <c r="E5" s="115"/>
      <c r="F5" s="116"/>
      <c r="G5" s="23">
        <v>13036459</v>
      </c>
      <c r="H5" s="14" t="s">
        <v>3</v>
      </c>
      <c r="I5" s="1"/>
    </row>
    <row r="6" spans="1:9" x14ac:dyDescent="0.25">
      <c r="A6" s="1"/>
      <c r="B6" s="123" t="s">
        <v>102</v>
      </c>
      <c r="C6" s="124"/>
      <c r="D6" s="124"/>
      <c r="E6" s="124"/>
      <c r="F6" s="125"/>
      <c r="G6" s="9">
        <v>1161954</v>
      </c>
      <c r="H6" s="14" t="s">
        <v>3</v>
      </c>
      <c r="I6" s="1"/>
    </row>
    <row r="7" spans="1:9" x14ac:dyDescent="0.25">
      <c r="A7" s="1"/>
      <c r="B7" s="114" t="s">
        <v>39</v>
      </c>
      <c r="C7" s="115"/>
      <c r="D7" s="115"/>
      <c r="E7" s="115"/>
      <c r="F7" s="116"/>
      <c r="G7" s="23">
        <f>SUM(G5:G6)*'Fane 15. Nøgletal'!C33</f>
        <v>283968.26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1" t="s">
        <v>47</v>
      </c>
      <c r="C10" s="112"/>
      <c r="D10" s="112"/>
      <c r="E10" s="112"/>
      <c r="F10" s="112"/>
      <c r="G10" s="112"/>
      <c r="H10" s="113"/>
      <c r="I10" s="1"/>
    </row>
    <row r="11" spans="1:9" x14ac:dyDescent="0.25">
      <c r="A11" s="1"/>
      <c r="B11" s="114" t="s">
        <v>40</v>
      </c>
      <c r="C11" s="115"/>
      <c r="D11" s="115"/>
      <c r="E11" s="115"/>
      <c r="F11" s="116"/>
      <c r="G11" s="23">
        <f>(G5-G7)*(1+'Fane 15. Nøgletal'!C10)</f>
        <v>12975659.327950001</v>
      </c>
      <c r="H11" s="14" t="s">
        <v>3</v>
      </c>
      <c r="I11" s="1"/>
    </row>
    <row r="12" spans="1:9" ht="15" customHeight="1" x14ac:dyDescent="0.25">
      <c r="A12" s="1"/>
      <c r="B12" s="114" t="s">
        <v>103</v>
      </c>
      <c r="C12" s="115"/>
      <c r="D12" s="115"/>
      <c r="E12" s="115"/>
      <c r="F12" s="116"/>
      <c r="G12" s="9">
        <v>0.33991893790196631</v>
      </c>
      <c r="H12" s="14" t="s">
        <v>3</v>
      </c>
      <c r="I12" s="1"/>
    </row>
    <row r="13" spans="1:9" x14ac:dyDescent="0.25">
      <c r="A13" s="1"/>
      <c r="B13" s="123" t="s">
        <v>100</v>
      </c>
      <c r="C13" s="124"/>
      <c r="D13" s="124"/>
      <c r="E13" s="124"/>
      <c r="F13" s="125"/>
      <c r="G13" s="9">
        <v>1182288.1950000001</v>
      </c>
      <c r="H13" s="14" t="s">
        <v>3</v>
      </c>
      <c r="I13" s="1"/>
    </row>
    <row r="14" spans="1:9" x14ac:dyDescent="0.25">
      <c r="A14" s="1"/>
      <c r="B14" s="120" t="s">
        <v>244</v>
      </c>
      <c r="C14" s="121"/>
      <c r="D14" s="121"/>
      <c r="E14" s="121"/>
      <c r="F14" s="122"/>
      <c r="G14" s="9">
        <v>0</v>
      </c>
      <c r="H14" s="14" t="s">
        <v>3</v>
      </c>
      <c r="I14" s="1"/>
    </row>
    <row r="15" spans="1:9" x14ac:dyDescent="0.25">
      <c r="A15" s="1"/>
      <c r="B15" s="114" t="s">
        <v>41</v>
      </c>
      <c r="C15" s="115"/>
      <c r="D15" s="115"/>
      <c r="E15" s="115"/>
      <c r="F15" s="116"/>
      <c r="G15" s="23">
        <f>SUM(G11:G14)*'Fane 15. Nøgletal'!C33</f>
        <v>283158.95725737879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1" t="s">
        <v>48</v>
      </c>
      <c r="C18" s="112"/>
      <c r="D18" s="112"/>
      <c r="E18" s="112"/>
      <c r="F18" s="112"/>
      <c r="G18" s="112"/>
      <c r="H18" s="113"/>
      <c r="I18" s="1"/>
    </row>
    <row r="19" spans="1:9" x14ac:dyDescent="0.25">
      <c r="A19" s="1"/>
      <c r="B19" s="114" t="s">
        <v>42</v>
      </c>
      <c r="C19" s="115"/>
      <c r="D19" s="115"/>
      <c r="E19" s="115"/>
      <c r="F19" s="116"/>
      <c r="G19" s="23">
        <f>(SUM(G11:G12,G14)-(G15))*(1+'Fane 15. Nøgletal'!C10)</f>
        <v>12914619.473047262</v>
      </c>
      <c r="H19" s="14" t="s">
        <v>3</v>
      </c>
      <c r="I19" s="1"/>
    </row>
    <row r="20" spans="1:9" x14ac:dyDescent="0.25">
      <c r="A20" s="1"/>
      <c r="B20" s="120" t="s">
        <v>245</v>
      </c>
      <c r="C20" s="121"/>
      <c r="D20" s="121"/>
      <c r="E20" s="121"/>
      <c r="F20" s="122"/>
      <c r="G20" s="9">
        <v>0</v>
      </c>
      <c r="H20" s="14" t="s">
        <v>3</v>
      </c>
      <c r="I20" s="1"/>
    </row>
    <row r="21" spans="1:9" x14ac:dyDescent="0.25">
      <c r="A21" s="1"/>
      <c r="B21" s="114" t="s">
        <v>43</v>
      </c>
      <c r="C21" s="115"/>
      <c r="D21" s="115"/>
      <c r="E21" s="115"/>
      <c r="F21" s="116"/>
      <c r="G21" s="23">
        <f>SUM(G19:G20)*'Fane 15. Nøgletal'!C33</f>
        <v>258292.38946094524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1" t="s">
        <v>49</v>
      </c>
      <c r="C24" s="112"/>
      <c r="D24" s="112"/>
      <c r="E24" s="112"/>
      <c r="F24" s="112"/>
      <c r="G24" s="112"/>
      <c r="H24" s="113"/>
      <c r="I24" s="1"/>
    </row>
    <row r="25" spans="1:9" x14ac:dyDescent="0.25">
      <c r="A25" s="1"/>
      <c r="B25" s="114" t="s">
        <v>44</v>
      </c>
      <c r="C25" s="115"/>
      <c r="D25" s="115"/>
      <c r="E25" s="115"/>
      <c r="F25" s="116"/>
      <c r="G25" s="23">
        <f>(G19+G20-G21)*(1+'Fane 15. Nøgletal'!C12)</f>
        <v>12905656.727132967</v>
      </c>
      <c r="H25" s="14" t="s">
        <v>3</v>
      </c>
      <c r="I25" s="1"/>
    </row>
    <row r="26" spans="1:9" x14ac:dyDescent="0.25">
      <c r="A26" s="1"/>
      <c r="B26" s="120" t="s">
        <v>246</v>
      </c>
      <c r="C26" s="121"/>
      <c r="D26" s="121"/>
      <c r="E26" s="121"/>
      <c r="F26" s="122"/>
      <c r="G26" s="9">
        <v>0</v>
      </c>
      <c r="H26" s="14" t="s">
        <v>3</v>
      </c>
      <c r="I26" s="1"/>
    </row>
    <row r="27" spans="1:9" x14ac:dyDescent="0.25">
      <c r="A27" s="1"/>
      <c r="B27" s="114" t="s">
        <v>45</v>
      </c>
      <c r="C27" s="115"/>
      <c r="D27" s="115"/>
      <c r="E27" s="115"/>
      <c r="F27" s="116"/>
      <c r="G27" s="23">
        <f>(G25+G26)*'Fane 15. Nøgletal'!C33</f>
        <v>258113.13454265933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1" t="s">
        <v>52</v>
      </c>
      <c r="C30" s="112"/>
      <c r="D30" s="112"/>
      <c r="E30" s="112"/>
      <c r="F30" s="112"/>
      <c r="G30" s="112"/>
      <c r="H30" s="113"/>
      <c r="I30" s="1"/>
    </row>
    <row r="31" spans="1:9" x14ac:dyDescent="0.25">
      <c r="A31" s="1"/>
      <c r="B31" s="114" t="s">
        <v>53</v>
      </c>
      <c r="C31" s="115"/>
      <c r="D31" s="115"/>
      <c r="E31" s="115"/>
      <c r="F31" s="116"/>
      <c r="G31" s="23">
        <f>(G25+G26-G27)*(1+'Fane 15. Nøgletal'!C12)</f>
        <v>12896700.201364338</v>
      </c>
      <c r="H31" s="14" t="s">
        <v>3</v>
      </c>
      <c r="I31" s="1"/>
    </row>
    <row r="32" spans="1:9" x14ac:dyDescent="0.25">
      <c r="A32" s="1"/>
      <c r="B32" s="114" t="s">
        <v>243</v>
      </c>
      <c r="C32" s="115"/>
      <c r="D32" s="115"/>
      <c r="E32" s="115"/>
      <c r="F32" s="116"/>
      <c r="G32" s="23">
        <v>96014.569991759985</v>
      </c>
      <c r="H32" s="14" t="s">
        <v>3</v>
      </c>
      <c r="I32" s="1"/>
    </row>
    <row r="33" spans="1:9" x14ac:dyDescent="0.25">
      <c r="A33" s="1"/>
      <c r="B33" s="114" t="s">
        <v>54</v>
      </c>
      <c r="C33" s="115"/>
      <c r="D33" s="115"/>
      <c r="E33" s="115"/>
      <c r="F33" s="116"/>
      <c r="G33" s="23">
        <f>(G31+G32)*'Fane 15. Nøgletal'!C33</f>
        <v>259854.29542712198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1" t="s">
        <v>126</v>
      </c>
      <c r="C36" s="112"/>
      <c r="D36" s="112"/>
      <c r="E36" s="112"/>
      <c r="F36" s="112"/>
      <c r="G36" s="112"/>
      <c r="H36" s="113"/>
      <c r="I36" s="1"/>
    </row>
    <row r="37" spans="1:9" x14ac:dyDescent="0.25">
      <c r="A37" s="1"/>
      <c r="B37" s="114" t="s">
        <v>68</v>
      </c>
      <c r="C37" s="115"/>
      <c r="D37" s="115"/>
      <c r="E37" s="115"/>
      <c r="F37" s="116"/>
      <c r="G37" s="23">
        <f>(G31+G32-G33)*(1+'Fane 15. Nøgletal'!C14)</f>
        <v>12774878.915499544</v>
      </c>
      <c r="H37" s="14" t="s">
        <v>3</v>
      </c>
      <c r="I37" s="1"/>
    </row>
    <row r="38" spans="1:9" x14ac:dyDescent="0.25">
      <c r="A38" s="1"/>
      <c r="B38" s="114" t="s">
        <v>242</v>
      </c>
      <c r="C38" s="115"/>
      <c r="D38" s="115"/>
      <c r="E38" s="115"/>
      <c r="F38" s="116"/>
      <c r="G38" s="23">
        <v>77848.266399930013</v>
      </c>
      <c r="H38" s="14" t="s">
        <v>3</v>
      </c>
      <c r="I38" s="1"/>
    </row>
    <row r="39" spans="1:9" x14ac:dyDescent="0.25">
      <c r="A39" s="1"/>
      <c r="B39" s="114" t="s">
        <v>128</v>
      </c>
      <c r="C39" s="115"/>
      <c r="D39" s="115"/>
      <c r="E39" s="115"/>
      <c r="F39" s="116"/>
      <c r="G39" s="23">
        <f>(G37+G38)*'Fane 15. Nøgletal'!C33</f>
        <v>257054.54363798947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1" t="s">
        <v>127</v>
      </c>
      <c r="C42" s="112"/>
      <c r="D42" s="112"/>
      <c r="E42" s="112"/>
      <c r="F42" s="112"/>
      <c r="G42" s="112"/>
      <c r="H42" s="113"/>
      <c r="I42" s="1"/>
    </row>
    <row r="43" spans="1:9" x14ac:dyDescent="0.25">
      <c r="A43" s="1"/>
      <c r="B43" s="114" t="s">
        <v>155</v>
      </c>
      <c r="C43" s="115"/>
      <c r="D43" s="115"/>
      <c r="E43" s="115"/>
      <c r="F43" s="116"/>
      <c r="G43" s="23">
        <f>(G37+G38-G39)*(1+'Fane 15. Nøgletal'!C14)</f>
        <v>12637238.357967747</v>
      </c>
      <c r="H43" s="14" t="s">
        <v>3</v>
      </c>
      <c r="I43" s="1"/>
    </row>
    <row r="44" spans="1:9" x14ac:dyDescent="0.25">
      <c r="A44" s="1"/>
      <c r="B44" s="117" t="s">
        <v>157</v>
      </c>
      <c r="C44" s="118"/>
      <c r="D44" s="118"/>
      <c r="E44" s="118"/>
      <c r="F44" s="119"/>
      <c r="G44" s="45">
        <v>39497.900401440005</v>
      </c>
      <c r="H44" s="14" t="s">
        <v>3</v>
      </c>
      <c r="I44" s="1"/>
    </row>
    <row r="45" spans="1:9" x14ac:dyDescent="0.25">
      <c r="A45" s="1"/>
      <c r="B45" s="114" t="s">
        <v>129</v>
      </c>
      <c r="C45" s="115"/>
      <c r="D45" s="115"/>
      <c r="E45" s="115"/>
      <c r="F45" s="116"/>
      <c r="G45" s="23">
        <f>SUM(G43:G44)*'Fane 15. Nøgletal'!C33</f>
        <v>253534.72516738373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1" t="s">
        <v>192</v>
      </c>
      <c r="C51" s="112"/>
      <c r="D51" s="112"/>
      <c r="E51" s="112"/>
      <c r="F51" s="112"/>
      <c r="G51" s="112"/>
      <c r="H51" s="113"/>
      <c r="I51" s="1"/>
    </row>
    <row r="52" spans="1:9" x14ac:dyDescent="0.25">
      <c r="A52" s="1"/>
      <c r="B52" s="114" t="s">
        <v>154</v>
      </c>
      <c r="C52" s="115"/>
      <c r="D52" s="115"/>
      <c r="E52" s="115"/>
      <c r="F52" s="116"/>
      <c r="G52" s="23">
        <f>(G43+G44-G45)*(1+'Fane 15. Nøgletal'!C16)</f>
        <v>13426996.217084508</v>
      </c>
      <c r="H52" s="14" t="s">
        <v>3</v>
      </c>
      <c r="I52" s="1"/>
    </row>
    <row r="53" spans="1:9" x14ac:dyDescent="0.25">
      <c r="A53" s="1"/>
      <c r="B53" s="75" t="s">
        <v>194</v>
      </c>
      <c r="C53" s="76"/>
      <c r="D53" s="76"/>
      <c r="E53" s="76"/>
      <c r="F53" s="77"/>
      <c r="G53" s="23">
        <f>('Fane 2.1. Økonomisk ramme 2024'!C10+'Fane 2.1. Økonomisk ramme 2024'!C12+'Fane 2.1. Økonomisk ramme 2024'!C14)*(1+'Fane 15. Nøgletal'!C16)</f>
        <v>198406.649504</v>
      </c>
      <c r="H53" s="14" t="s">
        <v>3</v>
      </c>
      <c r="I53" s="1"/>
    </row>
    <row r="54" spans="1:9" x14ac:dyDescent="0.25">
      <c r="A54" s="1"/>
      <c r="B54" s="114" t="s">
        <v>210</v>
      </c>
      <c r="C54" s="115"/>
      <c r="D54" s="115"/>
      <c r="E54" s="115"/>
      <c r="F54" s="116"/>
      <c r="G54" s="23">
        <f>(G52)*'Fane 15. Nøgletal'!C33+(G53)*'Fane 15. Nøgletal'!C33</f>
        <v>272508.05733177013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1" t="s">
        <v>193</v>
      </c>
      <c r="C57" s="112"/>
      <c r="D57" s="112"/>
      <c r="E57" s="112"/>
      <c r="F57" s="112"/>
      <c r="G57" s="112"/>
      <c r="H57" s="113"/>
      <c r="I57" s="1"/>
    </row>
    <row r="58" spans="1:9" x14ac:dyDescent="0.25">
      <c r="A58" s="1"/>
      <c r="B58" s="75" t="s">
        <v>212</v>
      </c>
      <c r="C58" s="76"/>
      <c r="D58" s="76"/>
      <c r="E58" s="76"/>
      <c r="F58" s="77"/>
      <c r="G58" s="23">
        <f>(G52+G53-G54)*(1+'Fane 15. Nøgletal'!C16)</f>
        <v>14431808.709844682</v>
      </c>
      <c r="H58" s="14" t="s">
        <v>3</v>
      </c>
      <c r="I58" s="1"/>
    </row>
    <row r="59" spans="1:9" x14ac:dyDescent="0.25">
      <c r="A59" s="1"/>
      <c r="B59" s="75" t="s">
        <v>211</v>
      </c>
      <c r="C59" s="76"/>
      <c r="D59" s="76"/>
      <c r="E59" s="76"/>
      <c r="F59" s="77"/>
      <c r="G59" s="23">
        <f>(G58)*'Fane 15. Nøgletal'!C33</f>
        <v>288636.17419689364</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1" t="s">
        <v>256</v>
      </c>
      <c r="C62" s="112"/>
      <c r="D62" s="112"/>
      <c r="E62" s="112"/>
      <c r="F62" s="112"/>
      <c r="G62" s="112"/>
      <c r="H62" s="113"/>
      <c r="I62" s="1"/>
    </row>
    <row r="63" spans="1:9" x14ac:dyDescent="0.25">
      <c r="A63" s="1"/>
      <c r="B63" s="75" t="s">
        <v>213</v>
      </c>
      <c r="C63" s="76"/>
      <c r="D63" s="76"/>
      <c r="E63" s="76"/>
      <c r="F63" s="77"/>
      <c r="G63" s="23">
        <f>(G58-G59)*(1+'Fane 15. Nøgletal'!C16)</f>
        <v>15285940.876528131</v>
      </c>
      <c r="H63" s="14" t="s">
        <v>3</v>
      </c>
      <c r="I63" s="1"/>
    </row>
    <row r="64" spans="1:9" x14ac:dyDescent="0.25">
      <c r="A64" s="1"/>
      <c r="B64" s="75" t="s">
        <v>214</v>
      </c>
      <c r="C64" s="76"/>
      <c r="D64" s="76"/>
      <c r="E64" s="76"/>
      <c r="F64" s="77"/>
      <c r="G64" s="23">
        <f>(G63)*'Fane 15. Nøgletal'!C33</f>
        <v>305718.81753056264</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1" t="s">
        <v>257</v>
      </c>
      <c r="C67" s="112"/>
      <c r="D67" s="112"/>
      <c r="E67" s="112"/>
      <c r="F67" s="112"/>
      <c r="G67" s="112"/>
      <c r="H67" s="113"/>
      <c r="I67" s="1"/>
    </row>
    <row r="68" spans="1:9" x14ac:dyDescent="0.25">
      <c r="A68" s="1"/>
      <c r="B68" s="75" t="s">
        <v>213</v>
      </c>
      <c r="C68" s="76"/>
      <c r="D68" s="76"/>
      <c r="E68" s="76"/>
      <c r="F68" s="77"/>
      <c r="G68" s="23">
        <f>(G63-G64)*(1+'Fane 15. Nøgletal'!C16)</f>
        <v>16190624.00136457</v>
      </c>
      <c r="H68" s="14" t="s">
        <v>3</v>
      </c>
      <c r="I68" s="1"/>
    </row>
    <row r="69" spans="1:9" x14ac:dyDescent="0.25">
      <c r="A69" s="1"/>
      <c r="B69" s="75" t="s">
        <v>214</v>
      </c>
      <c r="C69" s="76"/>
      <c r="D69" s="76"/>
      <c r="E69" s="76"/>
      <c r="F69" s="77"/>
      <c r="G69" s="23">
        <f>(G68)*'Fane 15. Nøgletal'!C33</f>
        <v>323812.4800272914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J4TeRuhEinbl26EhZCbNuTsKHvkgrKa4QP9dzAxF8f5wPyGWxWXMwXlcrBppfMmrJYXtF+WUphOj16Fq2bwfKg==" saltValue="/pyWC2t9xb4yaHEg6CjN7A=="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6" t="s">
        <v>92</v>
      </c>
      <c r="C1" s="126"/>
      <c r="D1" s="126"/>
      <c r="E1" s="126"/>
      <c r="F1" s="126"/>
      <c r="G1" s="126"/>
      <c r="H1" s="126"/>
      <c r="I1" s="1"/>
    </row>
    <row r="2" spans="1:9" ht="15" customHeight="1" x14ac:dyDescent="0.25">
      <c r="A2" s="1"/>
      <c r="B2" s="126"/>
      <c r="C2" s="126"/>
      <c r="D2" s="126"/>
      <c r="E2" s="126"/>
      <c r="F2" s="126"/>
      <c r="G2" s="126"/>
      <c r="H2" s="126"/>
      <c r="I2" s="1"/>
    </row>
    <row r="3" spans="1:9" ht="15" customHeight="1" x14ac:dyDescent="0.25">
      <c r="A3" s="1"/>
      <c r="B3" s="127"/>
      <c r="C3" s="127"/>
      <c r="D3" s="127"/>
      <c r="E3" s="127"/>
      <c r="F3" s="127"/>
      <c r="G3" s="127"/>
      <c r="H3" s="127"/>
      <c r="I3" s="1"/>
    </row>
    <row r="4" spans="1:9" x14ac:dyDescent="0.25">
      <c r="A4" s="1"/>
      <c r="B4" s="111" t="s">
        <v>50</v>
      </c>
      <c r="C4" s="112"/>
      <c r="D4" s="112"/>
      <c r="E4" s="112"/>
      <c r="F4" s="112"/>
      <c r="G4" s="112"/>
      <c r="H4" s="113"/>
      <c r="I4" s="1"/>
    </row>
    <row r="5" spans="1:9" x14ac:dyDescent="0.25">
      <c r="A5" s="1"/>
      <c r="B5" s="114" t="s">
        <v>55</v>
      </c>
      <c r="C5" s="115"/>
      <c r="D5" s="115"/>
      <c r="E5" s="115"/>
      <c r="F5" s="116"/>
      <c r="G5" s="23">
        <v>37785686.545511924</v>
      </c>
      <c r="H5" s="14" t="s">
        <v>3</v>
      </c>
      <c r="I5" s="1"/>
    </row>
    <row r="6" spans="1:9" x14ac:dyDescent="0.25">
      <c r="A6" s="1"/>
      <c r="B6" s="114" t="s">
        <v>51</v>
      </c>
      <c r="C6" s="115"/>
      <c r="D6" s="115"/>
      <c r="E6" s="115"/>
      <c r="F6" s="116"/>
      <c r="G6" s="23">
        <f>G5*'Fane 15. Nøgletal'!C21</f>
        <v>343849.74756415852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1" t="s">
        <v>56</v>
      </c>
      <c r="C9" s="112"/>
      <c r="D9" s="112"/>
      <c r="E9" s="112"/>
      <c r="F9" s="112"/>
      <c r="G9" s="112"/>
      <c r="H9" s="113"/>
      <c r="I9" s="1"/>
    </row>
    <row r="10" spans="1:9" x14ac:dyDescent="0.25">
      <c r="A10" s="1"/>
      <c r="B10" s="114" t="s">
        <v>57</v>
      </c>
      <c r="C10" s="115"/>
      <c r="D10" s="115"/>
      <c r="E10" s="115"/>
      <c r="F10" s="116"/>
      <c r="G10" s="23">
        <f>(G5-G6)*(1+'Fane 15. Nøgletal'!C10)</f>
        <v>38097068.941911854</v>
      </c>
      <c r="H10" s="14" t="s">
        <v>3</v>
      </c>
      <c r="I10" s="1"/>
    </row>
    <row r="11" spans="1:9" x14ac:dyDescent="0.25">
      <c r="A11" s="1"/>
      <c r="B11" s="114" t="s">
        <v>104</v>
      </c>
      <c r="C11" s="115"/>
      <c r="D11" s="115"/>
      <c r="E11" s="115"/>
      <c r="F11" s="116"/>
      <c r="G11" s="69">
        <v>-48912.905639961027</v>
      </c>
      <c r="H11" s="14" t="s">
        <v>3</v>
      </c>
      <c r="I11" s="1"/>
    </row>
    <row r="12" spans="1:9" x14ac:dyDescent="0.25">
      <c r="A12" s="1"/>
      <c r="B12" s="120" t="s">
        <v>247</v>
      </c>
      <c r="C12" s="121"/>
      <c r="D12" s="121"/>
      <c r="E12" s="121"/>
      <c r="F12" s="122"/>
      <c r="G12" s="9">
        <v>0</v>
      </c>
      <c r="H12" s="14" t="s">
        <v>3</v>
      </c>
      <c r="I12" s="1"/>
    </row>
    <row r="13" spans="1:9" x14ac:dyDescent="0.25">
      <c r="A13" s="1"/>
      <c r="B13" s="114" t="s">
        <v>58</v>
      </c>
      <c r="C13" s="115"/>
      <c r="D13" s="115"/>
      <c r="E13" s="115"/>
      <c r="F13" s="116"/>
      <c r="G13" s="23">
        <f>SUM(G10:G12)*'Fane 15. Nøgletal'!C22</f>
        <v>673452.3618420125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1" t="s">
        <v>59</v>
      </c>
      <c r="C16" s="112"/>
      <c r="D16" s="112"/>
      <c r="E16" s="112"/>
      <c r="F16" s="112"/>
      <c r="G16" s="112"/>
      <c r="H16" s="113"/>
      <c r="I16" s="1"/>
    </row>
    <row r="17" spans="1:9" x14ac:dyDescent="0.25">
      <c r="A17" s="1"/>
      <c r="B17" s="114" t="s">
        <v>60</v>
      </c>
      <c r="C17" s="115"/>
      <c r="D17" s="115"/>
      <c r="E17" s="115"/>
      <c r="F17" s="116"/>
      <c r="G17" s="23">
        <f>(SUM(G10:G12)-G13)*(1+'Fane 15. Nøgletal'!C10)</f>
        <v>38028760.988732405</v>
      </c>
      <c r="H17" s="14" t="s">
        <v>3</v>
      </c>
      <c r="I17" s="1"/>
    </row>
    <row r="18" spans="1:9" x14ac:dyDescent="0.25">
      <c r="A18" s="1"/>
      <c r="B18" s="120" t="s">
        <v>248</v>
      </c>
      <c r="C18" s="121"/>
      <c r="D18" s="121"/>
      <c r="E18" s="121"/>
      <c r="F18" s="122"/>
      <c r="G18" s="23">
        <v>319624.48710928991</v>
      </c>
      <c r="H18" s="14" t="s">
        <v>3</v>
      </c>
      <c r="I18" s="1"/>
    </row>
    <row r="19" spans="1:9" x14ac:dyDescent="0.25">
      <c r="A19" s="1"/>
      <c r="B19" s="114" t="s">
        <v>61</v>
      </c>
      <c r="C19" s="115"/>
      <c r="D19" s="115"/>
      <c r="E19" s="115"/>
      <c r="F19" s="116"/>
      <c r="G19" s="23">
        <f>G17*'Fane 15. Nøgletal'!C22+G18*'Fane 15. Nøgletal'!C23</f>
        <v>675889.80253841437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1" t="s">
        <v>62</v>
      </c>
      <c r="C22" s="112"/>
      <c r="D22" s="112"/>
      <c r="E22" s="112"/>
      <c r="F22" s="112"/>
      <c r="G22" s="112"/>
      <c r="H22" s="113"/>
      <c r="I22" s="1"/>
    </row>
    <row r="23" spans="1:9" x14ac:dyDescent="0.25">
      <c r="A23" s="1"/>
      <c r="B23" s="114" t="s">
        <v>63</v>
      </c>
      <c r="C23" s="115"/>
      <c r="D23" s="115"/>
      <c r="E23" s="115"/>
      <c r="F23" s="116"/>
      <c r="G23" s="23">
        <f>(G17+G18-G19)*(1+'Fane 15. Nøgletal'!C12)</f>
        <v>38414643.838067353</v>
      </c>
      <c r="H23" s="14" t="s">
        <v>3</v>
      </c>
      <c r="I23" s="1"/>
    </row>
    <row r="24" spans="1:9" x14ac:dyDescent="0.25">
      <c r="A24" s="1"/>
      <c r="B24" s="120" t="s">
        <v>249</v>
      </c>
      <c r="C24" s="121"/>
      <c r="D24" s="121"/>
      <c r="E24" s="121"/>
      <c r="F24" s="122"/>
      <c r="G24" s="23">
        <v>149976.27173124091</v>
      </c>
      <c r="H24" s="14" t="s">
        <v>3</v>
      </c>
      <c r="I24" s="1"/>
    </row>
    <row r="25" spans="1:9" x14ac:dyDescent="0.25">
      <c r="A25" s="1"/>
      <c r="B25" s="114" t="s">
        <v>64</v>
      </c>
      <c r="C25" s="115"/>
      <c r="D25" s="115"/>
      <c r="E25" s="115"/>
      <c r="F25" s="116"/>
      <c r="G25" s="23">
        <f>(G23+G24)*'Fane 15. Nøgletal'!C24</f>
        <v>1095235.2111182802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1" t="s">
        <v>65</v>
      </c>
      <c r="C28" s="112"/>
      <c r="D28" s="112"/>
      <c r="E28" s="112"/>
      <c r="F28" s="112"/>
      <c r="G28" s="112"/>
      <c r="H28" s="113"/>
      <c r="I28" s="1"/>
    </row>
    <row r="29" spans="1:9" x14ac:dyDescent="0.25">
      <c r="A29" s="1"/>
      <c r="B29" s="114" t="s">
        <v>66</v>
      </c>
      <c r="C29" s="115"/>
      <c r="D29" s="115"/>
      <c r="E29" s="115"/>
      <c r="F29" s="116"/>
      <c r="G29" s="23">
        <f>(G23+G24-G25)*(1+'Fane 15. Nøgletal'!C12)</f>
        <v>38207531.781184316</v>
      </c>
      <c r="H29" s="14" t="s">
        <v>3</v>
      </c>
      <c r="I29" s="1"/>
    </row>
    <row r="30" spans="1:9" x14ac:dyDescent="0.25">
      <c r="A30" s="1"/>
      <c r="B30" s="114" t="s">
        <v>250</v>
      </c>
      <c r="C30" s="115"/>
      <c r="D30" s="115"/>
      <c r="E30" s="115"/>
      <c r="F30" s="116"/>
      <c r="G30" s="23">
        <v>207194.5119132</v>
      </c>
      <c r="H30" s="14" t="s">
        <v>3</v>
      </c>
      <c r="I30" s="1"/>
    </row>
    <row r="31" spans="1:9" x14ac:dyDescent="0.25">
      <c r="A31" s="1"/>
      <c r="B31" s="114" t="s">
        <v>67</v>
      </c>
      <c r="C31" s="115"/>
      <c r="D31" s="115"/>
      <c r="E31" s="115"/>
      <c r="F31" s="116"/>
      <c r="G31" s="23">
        <f>G29*'Fane 15. Nøgletal'!C24+G30*'Fane 15. Nøgletal'!C25</f>
        <v>1090791.7516632478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1" t="s">
        <v>130</v>
      </c>
      <c r="C34" s="112"/>
      <c r="D34" s="112"/>
      <c r="E34" s="112"/>
      <c r="F34" s="112"/>
      <c r="G34" s="112"/>
      <c r="H34" s="113"/>
      <c r="I34" s="1"/>
    </row>
    <row r="35" spans="1:9" x14ac:dyDescent="0.25">
      <c r="A35" s="1"/>
      <c r="B35" s="114" t="s">
        <v>215</v>
      </c>
      <c r="C35" s="115"/>
      <c r="D35" s="115"/>
      <c r="E35" s="115"/>
      <c r="F35" s="116"/>
      <c r="G35" s="23">
        <f>(G29+G30-G31)*(1+'Fane 15. Nøgletal'!C14)</f>
        <v>37447103.525421008</v>
      </c>
      <c r="H35" s="14" t="s">
        <v>3</v>
      </c>
      <c r="I35" s="1"/>
    </row>
    <row r="36" spans="1:9" x14ac:dyDescent="0.25">
      <c r="A36" s="1"/>
      <c r="B36" s="114" t="s">
        <v>251</v>
      </c>
      <c r="C36" s="115"/>
      <c r="D36" s="115"/>
      <c r="E36" s="115"/>
      <c r="F36" s="116"/>
      <c r="G36" s="23">
        <v>141156.03849381002</v>
      </c>
      <c r="H36" s="14" t="s">
        <v>3</v>
      </c>
      <c r="I36" s="1"/>
    </row>
    <row r="37" spans="1:9" x14ac:dyDescent="0.25">
      <c r="A37" s="1"/>
      <c r="B37" s="114" t="s">
        <v>131</v>
      </c>
      <c r="C37" s="115"/>
      <c r="D37" s="115"/>
      <c r="E37" s="115"/>
      <c r="F37" s="116"/>
      <c r="G37" s="23">
        <f>(G35+G36)*'Fane 15. Nøgletal'!C26</f>
        <v>556306.24154593935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1" t="s">
        <v>151</v>
      </c>
      <c r="C40" s="112"/>
      <c r="D40" s="112"/>
      <c r="E40" s="112"/>
      <c r="F40" s="112"/>
      <c r="G40" s="112"/>
      <c r="H40" s="113"/>
      <c r="I40" s="1"/>
    </row>
    <row r="41" spans="1:9" x14ac:dyDescent="0.25">
      <c r="A41" s="1"/>
      <c r="B41" s="114" t="s">
        <v>216</v>
      </c>
      <c r="C41" s="115"/>
      <c r="D41" s="115"/>
      <c r="E41" s="115"/>
      <c r="F41" s="116"/>
      <c r="G41" s="23">
        <f>(G35+G36-G37)*(1+'Fane 15. Nøgletal'!C14)</f>
        <v>37154158.768332705</v>
      </c>
      <c r="H41" s="14" t="s">
        <v>3</v>
      </c>
      <c r="I41" s="1"/>
    </row>
    <row r="42" spans="1:9" x14ac:dyDescent="0.25">
      <c r="A42" s="1"/>
      <c r="B42" s="40" t="s">
        <v>156</v>
      </c>
      <c r="C42" s="76"/>
      <c r="D42" s="76"/>
      <c r="E42" s="76"/>
      <c r="F42" s="77"/>
      <c r="G42" s="23">
        <v>180394.37228880005</v>
      </c>
      <c r="H42" s="14" t="s">
        <v>3</v>
      </c>
      <c r="I42" s="1"/>
    </row>
    <row r="43" spans="1:9" x14ac:dyDescent="0.25">
      <c r="A43" s="1"/>
      <c r="B43" s="114" t="s">
        <v>132</v>
      </c>
      <c r="C43" s="115"/>
      <c r="D43" s="115"/>
      <c r="E43" s="115"/>
      <c r="F43" s="116"/>
      <c r="G43" s="23">
        <f>(G41)*'Fane 15. Nøgletal'!C26+G42*'Fane 15. Nøgletal'!C27</f>
        <v>549881.54977132403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1" t="s">
        <v>259</v>
      </c>
      <c r="C52" s="112"/>
      <c r="D52" s="112"/>
      <c r="E52" s="112"/>
      <c r="F52" s="112"/>
      <c r="G52" s="112"/>
      <c r="H52" s="113"/>
      <c r="I52" s="1"/>
    </row>
    <row r="53" spans="1:9" x14ac:dyDescent="0.25">
      <c r="A53" s="1"/>
      <c r="B53" s="114" t="s">
        <v>217</v>
      </c>
      <c r="C53" s="115"/>
      <c r="D53" s="115"/>
      <c r="E53" s="115"/>
      <c r="F53" s="116"/>
      <c r="G53" s="23">
        <f>(G41+G42-G43)*(1+'Fane 15. Nøgletal'!C16)</f>
        <v>39756873.05539088</v>
      </c>
      <c r="H53" s="14" t="s">
        <v>3</v>
      </c>
      <c r="I53" s="1"/>
    </row>
    <row r="54" spans="1:9" x14ac:dyDescent="0.25">
      <c r="A54" s="1"/>
      <c r="B54" s="75" t="s">
        <v>195</v>
      </c>
      <c r="C54" s="76"/>
      <c r="D54" s="76"/>
      <c r="E54" s="76"/>
      <c r="F54" s="77"/>
      <c r="G54" s="23">
        <f>('Fane 2.1. Økonomisk ramme 2024'!C11+'Fane 2.1. Økonomisk ramme 2024'!C13+'Fane 2.1. Økonomisk ramme 2024'!C15)*(1+'Fane 15. Nøgletal'!C16)</f>
        <v>2242912.1203775997</v>
      </c>
      <c r="H54" s="14" t="s">
        <v>3</v>
      </c>
      <c r="I54" s="1"/>
    </row>
    <row r="55" spans="1:9" x14ac:dyDescent="0.25">
      <c r="A55" s="1"/>
      <c r="B55" s="114" t="s">
        <v>218</v>
      </c>
      <c r="C55" s="115"/>
      <c r="D55" s="115"/>
      <c r="E55" s="115"/>
      <c r="F55" s="116"/>
      <c r="G55" s="9">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1" t="s">
        <v>258</v>
      </c>
      <c r="C58" s="112"/>
      <c r="D58" s="112"/>
      <c r="E58" s="112"/>
      <c r="F58" s="112"/>
      <c r="G58" s="112"/>
      <c r="H58" s="113"/>
      <c r="I58" s="1"/>
    </row>
    <row r="59" spans="1:9" x14ac:dyDescent="0.25">
      <c r="A59" s="1"/>
      <c r="B59" s="114" t="s">
        <v>219</v>
      </c>
      <c r="C59" s="115"/>
      <c r="D59" s="115"/>
      <c r="E59" s="115"/>
      <c r="F59" s="116"/>
      <c r="G59" s="23">
        <f>(G53+G54-G55)*(1+'Fane 15. Nøgletal'!C16)</f>
        <v>45393367.817970574</v>
      </c>
      <c r="H59" s="14" t="s">
        <v>3</v>
      </c>
      <c r="I59" s="1"/>
    </row>
    <row r="60" spans="1:9" x14ac:dyDescent="0.25">
      <c r="A60" s="1"/>
      <c r="B60" s="114" t="s">
        <v>220</v>
      </c>
      <c r="C60" s="115"/>
      <c r="D60" s="115"/>
      <c r="E60" s="115"/>
      <c r="F60" s="116"/>
      <c r="G60" s="9">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1" t="s">
        <v>141</v>
      </c>
      <c r="C63" s="112"/>
      <c r="D63" s="112"/>
      <c r="E63" s="112"/>
      <c r="F63" s="112"/>
      <c r="G63" s="112"/>
      <c r="H63" s="113"/>
      <c r="I63" s="1"/>
    </row>
    <row r="64" spans="1:9" x14ac:dyDescent="0.25">
      <c r="A64" s="1"/>
      <c r="B64" s="114" t="s">
        <v>221</v>
      </c>
      <c r="C64" s="115"/>
      <c r="D64" s="115"/>
      <c r="E64" s="115"/>
      <c r="F64" s="116"/>
      <c r="G64" s="23">
        <f>(G59-G60)*(1+'Fane 15. Nøgletal'!C16)</f>
        <v>49061151.937662594</v>
      </c>
      <c r="H64" s="14" t="s">
        <v>3</v>
      </c>
      <c r="I64" s="1"/>
    </row>
    <row r="65" spans="1:9" x14ac:dyDescent="0.25">
      <c r="A65" s="1"/>
      <c r="B65" s="114" t="s">
        <v>222</v>
      </c>
      <c r="C65" s="115"/>
      <c r="D65" s="115"/>
      <c r="E65" s="115"/>
      <c r="F65" s="116"/>
      <c r="G65" s="9">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1" t="s">
        <v>223</v>
      </c>
      <c r="C68" s="112"/>
      <c r="D68" s="112"/>
      <c r="E68" s="112"/>
      <c r="F68" s="112"/>
      <c r="G68" s="112"/>
      <c r="H68" s="113"/>
      <c r="I68" s="1"/>
    </row>
    <row r="69" spans="1:9" x14ac:dyDescent="0.25">
      <c r="A69" s="1"/>
      <c r="B69" s="114" t="s">
        <v>221</v>
      </c>
      <c r="C69" s="115"/>
      <c r="D69" s="115"/>
      <c r="E69" s="115"/>
      <c r="F69" s="116"/>
      <c r="G69" s="23">
        <f>(G64-G65)*(1+'Fane 15. Nøgletal'!C16)</f>
        <v>53025293.014225729</v>
      </c>
      <c r="H69" s="14" t="s">
        <v>3</v>
      </c>
      <c r="I69" s="1"/>
    </row>
    <row r="70" spans="1:9" x14ac:dyDescent="0.25">
      <c r="A70" s="1"/>
      <c r="B70" s="114" t="s">
        <v>222</v>
      </c>
      <c r="C70" s="115"/>
      <c r="D70" s="115"/>
      <c r="E70" s="115"/>
      <c r="F70" s="116"/>
      <c r="G70" s="9">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S6s+03mDRG38WHXcSpRdUXnEuOe9ihTkXxBDWf/PwTHEA1qaBDWZv+SBQey1HHk9T6XX+zVyJC1eH4O49m8psw==" saltValue="CfgyNT3QIrsQdXIz94R1LA=="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76</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1" t="s">
        <v>10</v>
      </c>
      <c r="C8" s="112"/>
      <c r="D8" s="112"/>
      <c r="E8" s="112"/>
      <c r="F8" s="112"/>
      <c r="G8" s="113"/>
      <c r="H8" s="1"/>
    </row>
    <row r="9" spans="1:8" x14ac:dyDescent="0.25">
      <c r="A9" s="1"/>
      <c r="B9" s="114" t="s">
        <v>271</v>
      </c>
      <c r="C9" s="115"/>
      <c r="D9" s="115"/>
      <c r="E9" s="115"/>
      <c r="F9" s="116"/>
      <c r="G9" s="22">
        <v>4.2222469008812141E-3</v>
      </c>
      <c r="H9" s="1"/>
    </row>
    <row r="10" spans="1:8" x14ac:dyDescent="0.25">
      <c r="A10" s="1"/>
      <c r="B10" s="33"/>
      <c r="C10" s="28"/>
      <c r="D10" s="28"/>
      <c r="E10" s="28"/>
      <c r="F10" s="28"/>
      <c r="G10" s="19"/>
      <c r="H10" s="1"/>
    </row>
    <row r="11" spans="1:8" ht="33" customHeight="1" x14ac:dyDescent="0.25">
      <c r="A11" s="1"/>
      <c r="B11" s="128" t="s">
        <v>264</v>
      </c>
      <c r="C11" s="128"/>
      <c r="D11" s="128"/>
      <c r="E11" s="128"/>
      <c r="F11" s="128"/>
      <c r="G11" s="128"/>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NhOiaybTiKWC8+FJbGm61YCpLGiV1TZ16Q4/G9SVDciz0LBnz4lg9ob5QHWVebctLuA9HXjTdN/FhWE5R47ANw==" saltValue="pS3healNvRRXGAl5/j9Kg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2024-02-12T14:06:05Z</dcterms:modified>
</cp:coreProperties>
</file>