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Denne_projektmappe" defaultThemeVersion="124226"/>
  <mc:AlternateContent xmlns:mc="http://schemas.openxmlformats.org/markup-compatibility/2006">
    <mc:Choice Requires="x15">
      <x15ac:absPath xmlns:x15ac="http://schemas.microsoft.com/office/spreadsheetml/2010/11/ac" url="E:\VAND\Sagsbehandling\Spildevand\Bornholms Spildevand AS (S010)\ØR2025\"/>
    </mc:Choice>
  </mc:AlternateContent>
  <xr:revisionPtr revIDLastSave="0" documentId="13_ncr:1_{19D9A9FA-F65D-41EC-AFB7-376586A9FD2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19" i="19"/>
  <c r="C20"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<sst xmlns="http://schemas.openxmlformats.org/spreadsheetml/2006/main" count="556" uniqueCount="242">
  <si>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</si>
  <si>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</si>
  <si>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</si>
  <si>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</si>
  <si>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</si>
  <si>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</si>
  <si>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</si>
  <si>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</si>
  <si>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</si>
  <si>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</si>
  <si>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</si>
  <si>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</si>
  <si>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</si>
  <si>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</si>
  <si>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</si>
  <si>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</si>
  <si>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</si>
  <si>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</si>
  <si>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</si>
  <si>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</si>
  <si>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</si>
  <si>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</si>
  <si>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</si>
  <si>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</si>
  <si>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</si>
  <si>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</si>
  <si>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</si>
  <si>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</si>
  <si>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</si>
  <si>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</si>
  <si>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</si>
  <si>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</si>
  <si>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</si>
  <si>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</si>
  <si>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</si>
  <si>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</si>
  <si>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</si>
  <si>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</si>
  <si>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</si>
  <si>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</si>
  <si>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</si>
  <si>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</si>
  <si>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</si>
  <si>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</si>
  <si>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</si>
  <si>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</si>
  <si>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</si>
  <si>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</si>
  <si>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</si>
  <si>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</si>
  <si>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</si>
  <si>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</si>
  <si>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</si>
  <si>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</si>
  <si>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</si>
  <si>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</si>
  <si>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</si>
  <si>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</si>
  <si>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</si>
  <si>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</si>
  <si>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</si>
  <si>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</si>
  <si>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</si>
  <si>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</si>
  <si>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</si>
  <si>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</si>
  <si>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</si>
  <si>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</si>
  <si>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</si>
  <si>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</si>
  <si>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</si>
  <si>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</si>
  <si>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</si>
  <si>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</si>
  <si>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</si>
  <si>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</si>
  <si>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</si>
  <si>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</si>
  <si>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</si>
  <si>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</si>
  <si>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</si>
  <si>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</si>
  <si>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</si>
  <si>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</si>
  <si>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</si>
  <si>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</si>
  <si>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</si>
  <si>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</si>
  <si>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</si>
  <si>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</si>
  <si>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</si>
  <si>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</si>
  <si>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</si>
  <si>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</si>
  <si>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</si>
  <si>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</si>
  <si>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</si>
  <si>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</si>
  <si>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</si>
  <si>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</si>
  <si>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</si>
  <si>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</si>
  <si>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</si>
  <si>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</si>
  <si>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</si>
  <si>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</si>
  <si>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</si>
  <si>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</si>
  <si>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</si>
  <si>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</si>
  <si>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</si>
  <si>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</si>
  <si>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</si>
  <si>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</si>
  <si>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</si>
  <si>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</si>
  <si>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</si>
  <si>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</si>
  <si>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</si>
  <si>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</si>
  <si>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</si>
  <si>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</si>
  <si>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</si>
  <si>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</si>
  <si>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</si>
  <si>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</si>
  <si>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</si>
  <si>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</si>
  <si>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</si>
  <si>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</si>
  <si>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</si>
  <si>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</si>
  <si>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</si>
  <si>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</si>
  <si>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</si>
  <si>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</si>
  <si>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</si>
  <si>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</si>
  <si>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</si>
  <si>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</si>
  <si>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</si>
  <si>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</si>
  <si>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</si>
  <si>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</si>
  <si>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</si>
  <si>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</si>
  <si>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</si>
  <si>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</si>
  <si>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</si>
  <si>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</si>
  <si>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</si>
  <si>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</si>
  <si>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</si>
  <si>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</si>
  <si>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</si>
  <si>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</si>
  <si>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</si>
  <si>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</si>
  <si>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</si>
  <si>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</si>
  <si>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</si>
  <si>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</si>
  <si>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</si>
  <si>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</si>
  <si>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</si>
  <si>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</si>
  <si>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</si>
  <si>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</si>
  <si>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</si>
  <si>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</si>
  <si>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</si>
  <si>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</si>
  <si>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</si>
  <si>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</si>
  <si>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</si>
  <si>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</si>
  <si>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</si>
  <si>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</si>
  <si>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</si>
  <si>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</si>
  <si>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</si>
  <si>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</si>
  <si>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</si>
  <si>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</si>
  <si>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</si>
  <si>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</si>
  <si>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</si>
  <si>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</si>
  <si>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</si>
  <si>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</si>
  <si>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</si>
  <si>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</si>
  <si>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</si>
  <si>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</si>
  <si>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</si>
  <si>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</si>
  <si>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</si>
  <si>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</si>
  <si>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</si>
  <si>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</si>
  <si>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</si>
  <si>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</si>
  <si>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</si>
  <si>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</si>
  <si>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</si>
  <si>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</si>
  <si>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</si>
  <si>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</si>
  <si>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</si>
  <si>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</si>
  <si>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</si>
  <si>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</si>
  <si>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</si>
  <si>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</si>
  <si>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</si>
  <si>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</si>
  <si>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</si>
  <si>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</si>
  <si>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</si>
  <si>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</si>
  <si>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</si>
  <si>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</si>
  <si>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</si>
  <si>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</si>
  <si>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</si>
  <si>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</si>
  <si>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</si>
  <si>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</si>
  <si>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</si>
  <si>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</si>
  <si>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</si>
  <si>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</si>
  <si>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Tjenestemandspensioner</t>
  </si>
  <si>
    <t>Erstatninger</t>
  </si>
  <si>
    <t>Gebyr til Miljøstyrelsen</t>
  </si>
  <si>
    <t>Øvrige afgifter</t>
  </si>
  <si>
    <t>Til statusmeddelelse for 2025</t>
  </si>
  <si>
    <t>PFAS i spildevandsslam</t>
  </si>
  <si>
    <t>Udvidelse af forsyningsområde nye stik og ny kloakering 2023</t>
  </si>
  <si>
    <t>Periodevis driftomkostning - oprensning af bassin</t>
  </si>
  <si>
    <t>Periodevis driftsomkostning - oprensning af bassin</t>
  </si>
  <si>
    <t>Omkostninger i forbindelse med Kommunens Spildevandsplan - separatkloakering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</si>
</sst>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236</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Q4b+V3E4J2U7xqnm4PdcXv5/odabMmKB45CXCYeWsdjXvtlN40lUMpiZC+V0RBiOO9McrRAyKF4l5IE+iwQTXQ==" saltValue="3cO44Nqr3wZ30d8mQ/C41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228</v>
      </c>
      <c r="C10" s="73">
        <v>1445967.39</v>
      </c>
      <c r="D10" s="14" t="s">
        <v>3</v>
      </c>
      <c r="E10" s="1"/>
    </row>
    <row r="11" spans="1:5" ht="15" customHeight="1" x14ac:dyDescent="0.25">
      <c r="A11" s="1"/>
      <c r="B11" s="72" t="s">
        <v>229</v>
      </c>
      <c r="C11" s="73">
        <v>75669</v>
      </c>
      <c r="D11" s="14" t="s">
        <v>3</v>
      </c>
      <c r="E11" s="1"/>
    </row>
    <row r="12" spans="1:5" ht="25.5" x14ac:dyDescent="0.25">
      <c r="A12" s="1"/>
      <c r="B12" s="72" t="s">
        <v>230</v>
      </c>
      <c r="C12" s="73">
        <v>482772</v>
      </c>
      <c r="D12" s="14" t="s">
        <v>3</v>
      </c>
      <c r="E12" s="1"/>
    </row>
    <row r="13" spans="1:5" x14ac:dyDescent="0.25">
      <c r="A13" s="1"/>
      <c r="B13" s="72" t="s">
        <v>231</v>
      </c>
      <c r="C13" s="73">
        <v>58780.55</v>
      </c>
      <c r="D13" s="14" t="s">
        <v>3</v>
      </c>
      <c r="E13" s="1"/>
    </row>
    <row r="14" spans="1:5" x14ac:dyDescent="0.25">
      <c r="A14" s="1"/>
      <c r="B14" s="72" t="s">
        <v>232</v>
      </c>
      <c r="C14" s="73">
        <v>25411.19</v>
      </c>
      <c r="D14" s="14" t="s">
        <v>3</v>
      </c>
      <c r="E14" s="1"/>
    </row>
    <row r="15" spans="1:5" x14ac:dyDescent="0.25">
      <c r="A15" s="1"/>
      <c r="B15" s="72" t="s">
        <v>233</v>
      </c>
      <c r="C15" s="73">
        <v>170537.21</v>
      </c>
      <c r="D15" s="14" t="s">
        <v>3</v>
      </c>
      <c r="E15" s="1"/>
    </row>
    <row r="16" spans="1:5" x14ac:dyDescent="0.25">
      <c r="A16" s="1"/>
      <c r="B16" s="72" t="s">
        <v>234</v>
      </c>
      <c r="C16" s="73">
        <v>18446.25</v>
      </c>
      <c r="D16" s="14" t="s">
        <v>3</v>
      </c>
      <c r="E16" s="1"/>
    </row>
    <row r="17" spans="1:5" x14ac:dyDescent="0.25">
      <c r="A17" s="1"/>
      <c r="B17" s="72" t="s">
        <v>235</v>
      </c>
      <c r="C17" s="73">
        <v>104900</v>
      </c>
      <c r="D17" s="14" t="s">
        <v>3</v>
      </c>
      <c r="E17" s="1"/>
    </row>
    <row r="18" spans="1:5" x14ac:dyDescent="0.25">
      <c r="A18" s="1"/>
      <c r="B18" s="72"/>
      <c r="C18" s="73"/>
      <c r="D18" s="14" t="s">
        <v>3</v>
      </c>
      <c r="E18" s="1"/>
    </row>
    <row r="19" spans="1:5" x14ac:dyDescent="0.25">
      <c r="A19" s="1"/>
      <c r="B19" s="33" t="s">
        <v>167</v>
      </c>
      <c r="C19" s="12">
        <f>SUM(C10:C18)</f>
        <v>2382483.59</v>
      </c>
      <c r="D19" s="13" t="s">
        <v>3</v>
      </c>
      <c r="E19" s="1"/>
    </row>
    <row r="20" spans="1:5" x14ac:dyDescent="0.25">
      <c r="A20" s="1"/>
      <c r="B20" s="33" t="s">
        <v>168</v>
      </c>
      <c r="C20" s="12">
        <f>C19*(1+'Fane 15. Nøgletal'!C10)^2</f>
        <v>2708873.5733257271</v>
      </c>
      <c r="D20" s="13" t="s">
        <v>3</v>
      </c>
      <c r="E20" s="1"/>
    </row>
    <row r="21" spans="1:5" x14ac:dyDescent="0.25">
      <c r="A21" s="1"/>
      <c r="B21" s="16"/>
      <c r="C21" s="15"/>
      <c r="D21" s="15"/>
      <c r="E21" s="1"/>
    </row>
    <row r="22" spans="1:5" x14ac:dyDescent="0.25">
      <c r="A22" s="1"/>
      <c r="B22" s="16"/>
      <c r="C22" s="15"/>
      <c r="D22" s="15"/>
      <c r="E22" s="1"/>
    </row>
    <row r="23" spans="1:5" x14ac:dyDescent="0.25">
      <c r="A23" s="1"/>
      <c r="B23" s="109" t="s">
        <v>60</v>
      </c>
      <c r="C23" s="110"/>
      <c r="D23" s="111"/>
      <c r="E23" s="1"/>
    </row>
    <row r="24" spans="1:5" x14ac:dyDescent="0.25">
      <c r="A24" s="1"/>
      <c r="B24" s="37" t="s">
        <v>72</v>
      </c>
      <c r="C24" s="9">
        <v>1045594</v>
      </c>
      <c r="D24" s="14" t="s">
        <v>3</v>
      </c>
      <c r="E24" s="1"/>
    </row>
    <row r="25" spans="1:5" x14ac:dyDescent="0.25">
      <c r="A25" s="1"/>
      <c r="B25" s="37" t="s">
        <v>83</v>
      </c>
      <c r="C25" s="9">
        <v>1045594</v>
      </c>
      <c r="D25" s="14" t="s">
        <v>3</v>
      </c>
      <c r="E25" s="1"/>
    </row>
    <row r="26" spans="1:5" x14ac:dyDescent="0.25">
      <c r="A26" s="1"/>
      <c r="B26" s="37" t="s">
        <v>148</v>
      </c>
      <c r="C26" s="9">
        <v>1045594</v>
      </c>
      <c r="D26" s="14" t="s">
        <v>3</v>
      </c>
      <c r="E26" s="1"/>
    </row>
    <row r="27" spans="1:5" x14ac:dyDescent="0.25">
      <c r="A27" s="1"/>
      <c r="B27" s="34" t="s">
        <v>169</v>
      </c>
      <c r="C27" s="9">
        <v>1045594</v>
      </c>
      <c r="D27" s="36" t="s">
        <v>3</v>
      </c>
      <c r="E27" s="1"/>
    </row>
    <row r="28" spans="1:5" x14ac:dyDescent="0.25">
      <c r="A28" s="1"/>
      <c r="B28" s="109"/>
      <c r="C28" s="110"/>
      <c r="D28" s="111"/>
      <c r="E28" s="1"/>
    </row>
    <row r="29" spans="1:5" x14ac:dyDescent="0.25">
      <c r="A29" s="1"/>
      <c r="B29" s="1"/>
      <c r="C29" s="1"/>
      <c r="D29" s="1"/>
      <c r="E29" s="1"/>
    </row>
    <row r="30" spans="1:5" x14ac:dyDescent="0.25">
      <c r="A30" s="1"/>
      <c r="B30" s="1"/>
      <c r="C30" s="1"/>
      <c r="D30" s="1"/>
      <c r="E30" s="1"/>
    </row>
    <row r="31" spans="1:5" x14ac:dyDescent="0.25">
      <c r="A31" s="1"/>
      <c r="B31" s="109" t="s">
        <v>47</v>
      </c>
      <c r="C31" s="110"/>
      <c r="D31" s="111"/>
      <c r="E31" s="1"/>
    </row>
    <row r="32" spans="1:5" x14ac:dyDescent="0.25">
      <c r="A32" s="1"/>
      <c r="B32" s="37" t="s">
        <v>72</v>
      </c>
      <c r="C32" s="9">
        <v>651051</v>
      </c>
      <c r="D32" s="14" t="s">
        <v>3</v>
      </c>
      <c r="E32" s="1"/>
    </row>
    <row r="33" spans="1:5" x14ac:dyDescent="0.25">
      <c r="A33" s="1"/>
      <c r="B33" s="37" t="s">
        <v>83</v>
      </c>
      <c r="C33" s="9">
        <v>0</v>
      </c>
      <c r="D33" s="14" t="s">
        <v>3</v>
      </c>
      <c r="E33" s="1"/>
    </row>
    <row r="34" spans="1:5" x14ac:dyDescent="0.25">
      <c r="A34" s="1"/>
      <c r="B34" s="37" t="s">
        <v>148</v>
      </c>
      <c r="C34" s="9">
        <v>0</v>
      </c>
      <c r="D34" s="14" t="s">
        <v>3</v>
      </c>
      <c r="E34" s="1"/>
    </row>
    <row r="35" spans="1:5" x14ac:dyDescent="0.25">
      <c r="A35" s="1"/>
      <c r="B35" s="34" t="s">
        <v>169</v>
      </c>
      <c r="C35" s="9">
        <v>0</v>
      </c>
      <c r="D35" s="36" t="s">
        <v>3</v>
      </c>
      <c r="E35" s="1"/>
    </row>
    <row r="36" spans="1:5" x14ac:dyDescent="0.25">
      <c r="A36" s="1"/>
      <c r="B36" s="109"/>
      <c r="C36" s="110"/>
      <c r="D36" s="11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x14ac:dyDescent="0.25"/>
  </sheetData>
  <sheetProtection algorithmName="SHA-512" hashValue="Laxcq7AX8PB4Px57zrEtcVsQIq4izas/y8t39u7s+pbKpmgJ+RAcm3norN+/pyxVxIRpmFj9J5ndQdwibyRVWQ==" saltValue="5QeGilrm9bs0al0a/ZG/2g==" spinCount="100000" sheet="1" objects="1" scenarios="1"/>
  <mergeCells count="6">
    <mergeCell ref="B36:D36"/>
    <mergeCell ref="B3:D4"/>
    <mergeCell ref="B8:D8"/>
    <mergeCell ref="B23:D23"/>
    <mergeCell ref="B31:D31"/>
    <mergeCell ref="B28:D2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-830432.39049445093</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67588347.074352279</v>
      </c>
      <c r="D20" s="14" t="s">
        <v>3</v>
      </c>
      <c r="E20" s="1"/>
    </row>
    <row r="21" spans="1:5" x14ac:dyDescent="0.25">
      <c r="A21" s="1"/>
      <c r="B21" s="65" t="s">
        <v>207</v>
      </c>
      <c r="C21" s="9">
        <v>69132567.310000002</v>
      </c>
      <c r="D21" s="14" t="s">
        <v>3</v>
      </c>
      <c r="E21" s="1"/>
    </row>
    <row r="22" spans="1:5" x14ac:dyDescent="0.25">
      <c r="A22" s="1"/>
      <c r="B22" s="65" t="s">
        <v>29</v>
      </c>
      <c r="C22" s="9">
        <v>0</v>
      </c>
      <c r="D22" s="14" t="s">
        <v>3</v>
      </c>
      <c r="E22" s="1"/>
    </row>
    <row r="23" spans="1:5" x14ac:dyDescent="0.25">
      <c r="A23" s="1"/>
      <c r="B23" s="82" t="s">
        <v>208</v>
      </c>
      <c r="C23" s="57">
        <f>C20-C21-C22</f>
        <v>-1544220.2356477231</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-1544220.2356477231</v>
      </c>
      <c r="D31" s="14" t="s">
        <v>3</v>
      </c>
      <c r="E31" s="1"/>
    </row>
    <row r="32" spans="1:5" x14ac:dyDescent="0.25">
      <c r="A32" s="1"/>
      <c r="B32" s="66" t="s">
        <v>49</v>
      </c>
      <c r="C32" s="9">
        <v>2</v>
      </c>
      <c r="D32" s="14" t="s">
        <v>20</v>
      </c>
      <c r="E32" s="1"/>
    </row>
    <row r="33" spans="1:5" x14ac:dyDescent="0.25">
      <c r="A33" s="1"/>
      <c r="B33" s="67" t="s">
        <v>70</v>
      </c>
      <c r="C33" s="57">
        <f>C31/C32</f>
        <v>-772110.11782386154</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SjT904BxvcNTSlZKl54iNxnWONT5RFoWTvbAey9ZByvVg70rjqMXll99DauizPCKQk1/fEo6a1ZCcd/zRD1BvQ==" saltValue="k7Nm7OzuX1dOoJA9eT9Jr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42eGi8ZLRYl78qrqiC33uzAfdwTDoNcnqC6F06eMBbAgtVAINU6+4rLPCMpowzA5GH2Xgg6SDO/Vjetx83Mbg==" saltValue="W2Ihq8OedZ7YzEgW1FL+v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217</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9" t="s">
        <v>219</v>
      </c>
      <c r="C12" s="110"/>
      <c r="D12" s="111"/>
      <c r="E12" s="1"/>
    </row>
    <row r="13" spans="1:5" ht="26.25" x14ac:dyDescent="0.25">
      <c r="A13" s="1"/>
      <c r="B13" s="79" t="s">
        <v>218</v>
      </c>
      <c r="C13" s="7">
        <v>1045594</v>
      </c>
      <c r="D13" s="8" t="s">
        <v>3</v>
      </c>
      <c r="E13" s="1"/>
    </row>
    <row r="14" spans="1:5" ht="14.25" customHeight="1" x14ac:dyDescent="0.25">
      <c r="A14" s="1"/>
      <c r="B14" s="65" t="s">
        <v>173</v>
      </c>
      <c r="C14" s="7">
        <v>680193</v>
      </c>
      <c r="D14" s="8" t="s">
        <v>3</v>
      </c>
      <c r="E14" s="1"/>
    </row>
    <row r="15" spans="1:5" ht="14.25" customHeight="1" x14ac:dyDescent="0.25">
      <c r="A15" s="1"/>
      <c r="B15" s="82" t="s">
        <v>48</v>
      </c>
      <c r="C15" s="10">
        <f>C14-C13</f>
        <v>-365401</v>
      </c>
      <c r="D15" s="11" t="s">
        <v>3</v>
      </c>
      <c r="E15" s="1"/>
    </row>
    <row r="16" spans="1:5" ht="14.25" customHeight="1" x14ac:dyDescent="0.25">
      <c r="A16" s="1"/>
      <c r="B16" s="33" t="s">
        <v>174</v>
      </c>
      <c r="C16" s="12">
        <f>C11+C15</f>
        <v>-365401</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b87r3Dy6w09be7a5tLlkzZq1ldXrA5Ez3IxfhFHsxOOkXJnL2tIjCFu56W9j45txjxCwXSdlsmCnwr5SgA/wNQ==" saltValue="KQqIEPm6pNI+tvJEKbtUA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WS++Ocd4mm7hLBUvH730WoQ8Go1Uj2H+IKEtjDrHac+eeOJOs+UEPYH2szEYZKBZahFNS80Tbvd2SrRB1J9dMw==" saltValue="rjh0oWP7Ea75+LvHhAMAF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ht="26.25" x14ac:dyDescent="0.25">
      <c r="A11" s="1"/>
      <c r="B11" s="70" t="s">
        <v>241</v>
      </c>
      <c r="C11" s="21">
        <v>1766876</v>
      </c>
      <c r="D11" s="14" t="s">
        <v>3</v>
      </c>
      <c r="E11" s="9">
        <v>592056</v>
      </c>
      <c r="F11" s="14" t="s">
        <v>3</v>
      </c>
      <c r="G11" s="1"/>
    </row>
    <row r="12" spans="1:7" x14ac:dyDescent="0.25">
      <c r="A12" s="1"/>
      <c r="B12" s="24" t="s">
        <v>237</v>
      </c>
      <c r="C12" s="21">
        <v>1227683</v>
      </c>
      <c r="D12" s="14" t="s">
        <v>3</v>
      </c>
      <c r="E12" s="9">
        <v>0</v>
      </c>
      <c r="F12" s="14" t="s">
        <v>3</v>
      </c>
      <c r="G12" s="1"/>
    </row>
    <row r="13" spans="1:7" ht="26.25" x14ac:dyDescent="0.25">
      <c r="A13" s="1"/>
      <c r="B13" s="70" t="s">
        <v>238</v>
      </c>
      <c r="C13" s="21">
        <v>105023</v>
      </c>
      <c r="D13" s="14" t="s">
        <v>3</v>
      </c>
      <c r="E13" s="9">
        <v>47867</v>
      </c>
      <c r="F13" s="14" t="s">
        <v>3</v>
      </c>
      <c r="G13" s="1"/>
    </row>
    <row r="14" spans="1:7" ht="26.25" x14ac:dyDescent="0.25">
      <c r="A14" s="1"/>
      <c r="B14" s="70" t="s">
        <v>240</v>
      </c>
      <c r="C14" s="21">
        <v>23251</v>
      </c>
      <c r="D14" s="14" t="s">
        <v>3</v>
      </c>
      <c r="E14" s="9">
        <v>0</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3122833</v>
      </c>
      <c r="D19" s="13" t="s">
        <v>3</v>
      </c>
      <c r="E19" s="12">
        <f>SUM(E10:E18)</f>
        <v>639923</v>
      </c>
      <c r="F19" s="13" t="s">
        <v>3</v>
      </c>
      <c r="G19" s="1"/>
    </row>
    <row r="20" spans="1:7" x14ac:dyDescent="0.25">
      <c r="A20" s="1"/>
      <c r="B20" s="33" t="s">
        <v>175</v>
      </c>
      <c r="C20" s="12">
        <f>C19*(1+'Fane 15. Nøgletal'!C10)</f>
        <v>3329876.8278999999</v>
      </c>
      <c r="D20" s="13" t="s">
        <v>3</v>
      </c>
      <c r="E20" s="12">
        <f>E19*(1+'Fane 15. Nøgletal'!C10)</f>
        <v>682349.89490000007</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amq7qdBeGSNr6zmmcQLXdKMQbqjI9nm7Zb5w2CXTunfKl+nh1ebqOO1g+w+9hA0wNGrhOM7BAQ2gNPCMCLIxQ==" saltValue="d0gW4t73wDf6n3Nu2oWby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ht="26.25" x14ac:dyDescent="0.25">
      <c r="A10" s="1"/>
      <c r="B10" s="70" t="s">
        <v>239</v>
      </c>
      <c r="C10" s="21">
        <v>232508</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232508</v>
      </c>
      <c r="D13" s="13" t="s">
        <v>3</v>
      </c>
      <c r="E13" s="12">
        <f>SUM(E10:E12)</f>
        <v>0</v>
      </c>
      <c r="F13" s="13" t="s">
        <v>3</v>
      </c>
      <c r="G13" s="1"/>
    </row>
    <row r="14" spans="1:7" x14ac:dyDescent="0.25">
      <c r="A14" s="1"/>
      <c r="B14" s="33" t="s">
        <v>178</v>
      </c>
      <c r="C14" s="12">
        <f>C13*(1+'Fane 15. Nøgletal'!C10)^2</f>
        <v>264360.59389051999</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lMcIHbWL5BZPtyVIooWSysYpioryhNMxYnhk35bW91RV5NOKEJVcN2yMyCHsbE42CVwfUZrYborINVmuPYG4w==" saltValue="hwBNvxnFGxJj+5hI/WRVH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RipxHC3EYM7u+Vgyqq/IYAQ8oQBE5FL0kySvN6myiuxl/6L3rZx68yMc17FTVuYqDk2BhAQURPXwwCJ8Lz/sLQ==" saltValue="r6GkbfMysIYv8Dk2AVxVQ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zaZKYcDTOm6DE9uRv9uZ37DYwkXJZIDTHE1O/PU70pd3M2Sa1U9MVTv4WeIW96o7LwEAl3rW2IoZnz9vZkk3VQ==" saltValue="kJd9J57H2ZQ1gQ/4ygcEE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SW4LMymCWEgjgqbD0vU7kLVqYBHLU9LDhUTkkg1WcZuTdswjFj/E9gJ2oUKXZqhai6HcsivBg+WneJ5c/BSNQ==" saltValue="o64aD9tpkScLp1BkcH4P/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69621867.214151308</v>
      </c>
      <c r="D9" s="8" t="s">
        <v>3</v>
      </c>
      <c r="E9" s="1"/>
    </row>
    <row r="10" spans="1:5" ht="17.25" customHeight="1" x14ac:dyDescent="0.25">
      <c r="A10" s="1"/>
      <c r="B10" s="64" t="s">
        <v>35</v>
      </c>
      <c r="C10" s="7">
        <f>'Fane 11.1. Varige tillæg'!C20</f>
        <v>3329876.8278999999</v>
      </c>
      <c r="D10" s="8" t="s">
        <v>3</v>
      </c>
      <c r="E10" s="1"/>
    </row>
    <row r="11" spans="1:5" ht="17.25" customHeight="1" x14ac:dyDescent="0.25">
      <c r="A11" s="1"/>
      <c r="B11" s="64" t="s">
        <v>36</v>
      </c>
      <c r="C11" s="9">
        <f>'Fane 11.1. Varige tillæg'!E20</f>
        <v>682349.89490000007</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5891457.5026250659</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-695454.0216115932</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78830097.417964786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omk.'!C20+'Fane 6. Ikke-påvirkelige omk.'!C24+'Fane 6. Ikke-påvirkelige omk.'!C32</f>
        <v>4405518.5733257271</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264360.59389051999</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-5287.2118778103995</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259073.3820127096</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-365401</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83129288.37330322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7d+HM8WQIYvLt9VrLIWb9OmYsjAUomMwhePaQoRBhjUAvCCepMf3vi2hArNivot2NtaH0mgjtFIu1Dk2dbjhww==" saltValue="UBtHqR0MCurag97E8/eCj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hzB7/0Skk0z4KBAou8lMTCLz7JlwYXHuWEX2iQ1y9aVBK5nxz9Kgfi2wbzsjmjmws/I/ohC/DYbjKZ0G8VkZeQ==" saltValue="kefzsCXG1S7CPUcPwK4t1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78830097.417964786</v>
      </c>
      <c r="D9" s="8" t="s">
        <v>3</v>
      </c>
      <c r="E9" s="1"/>
    </row>
    <row r="10" spans="1:5" ht="15" customHeight="1" x14ac:dyDescent="0.25">
      <c r="A10" s="1"/>
      <c r="B10" s="26" t="s">
        <v>19</v>
      </c>
      <c r="C10" s="7">
        <f>C9*'Fane 15. Nøgletal'!C10</f>
        <v>5226435.4588110652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-726731.37077955308</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83329801.505996287</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Nøgletal'!C10)+'Fane 6. Ikke-påvirkelige omk.'!C25+'Fane 6. Ikke-påvirkelige omk.'!C33</f>
        <v>3934065.8912372231</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-772110.11782386154</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86491757.279409647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phlavXC5GyFGG+AemzfXIf39ZX5Ouy2H85dU35NXhIm74RV0zPhNGnpw8W3mcGZL9jBhG2mmBB49SiLiD3gOA==" saltValue="S9Eqmi9Jmu2hm3varnky9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83329801.505996287</v>
      </c>
      <c r="D9" s="8" t="s">
        <v>3</v>
      </c>
      <c r="E9" s="1"/>
    </row>
    <row r="10" spans="1:5" ht="15" customHeight="1" x14ac:dyDescent="0.25">
      <c r="A10" s="1"/>
      <c r="B10" s="26" t="s">
        <v>19</v>
      </c>
      <c r="C10" s="7">
        <f>SUM(C9:C9)*'Fane 15. Nøgletal'!C10</f>
        <v>5524765.8398475535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-759415.3874489927</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88095151.95839484</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Nøgletal'!C10)^2+'Fane 6. Ikke-påvirkelige omk.'!C26+'Fane 6. Ikke-påvirkelige omk.'!C34</f>
        <v>4125571.5776262507</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-772110.11782386154</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91448613.418197215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alAMYXe7BKxxyVRKADM9omLfveDsKgPOIMmAg5J7WIR+MqNK7y7O87Z6qHkN+rXyRg730SmqmoaiparS8K2Jw==" saltValue="CaLT2cBe++hoGSZtoNeyl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88095151.95839484</v>
      </c>
      <c r="D9" s="8" t="s">
        <v>3</v>
      </c>
      <c r="E9" s="1"/>
    </row>
    <row r="10" spans="1:5" ht="15" customHeight="1" x14ac:dyDescent="0.25">
      <c r="A10" s="1"/>
      <c r="B10" s="26" t="s">
        <v>19</v>
      </c>
      <c r="C10" s="7">
        <f>SUM(C9:C9)*'Fane 15. Nøgletal'!C10</f>
        <v>5840708.5748415776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-793569.33508412365</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93142291.198152289</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Nøgletal'!C10)^3+'Fane 6. Ikke-påvirkelige omk.'!C27+'Fane 6. Ikke-påvirkelige omk.'!C35</f>
        <v>4329774.0910228714</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97472065.289175153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abOETZnDfbx8b0kfVddGc5TA2MDW2T9OgvDsADk6WB4lPm5HIxCTCy92qsPJC5KMLAFxN73HU9WJQl7awA3Ug==" saltValue="d58y43G6RS6yyy32vmDWS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64412175.378353082</v>
      </c>
      <c r="D9" s="8" t="s">
        <v>3</v>
      </c>
      <c r="E9" s="1"/>
    </row>
    <row r="10" spans="1:5" ht="15" customHeight="1" x14ac:dyDescent="0.25">
      <c r="A10" s="1"/>
      <c r="B10" s="64" t="s">
        <v>35</v>
      </c>
      <c r="C10" s="7">
        <v>499234.48959999997</v>
      </c>
      <c r="D10" s="8" t="s">
        <v>3</v>
      </c>
      <c r="E10" s="1"/>
    </row>
    <row r="11" spans="1:5" ht="15" customHeight="1" x14ac:dyDescent="0.25">
      <c r="A11" s="1"/>
      <c r="B11" s="64" t="s">
        <v>36</v>
      </c>
      <c r="C11" s="9">
        <v>51040.542223999997</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5248965.9931423087</v>
      </c>
      <c r="D16" s="8" t="s">
        <v>3</v>
      </c>
      <c r="E16" s="1"/>
    </row>
    <row r="17" spans="1:5" ht="15" customHeight="1" x14ac:dyDescent="0.25">
      <c r="A17" s="1"/>
      <c r="B17" s="64" t="s">
        <v>10</v>
      </c>
      <c r="C17" s="38">
        <v>0</v>
      </c>
      <c r="D17" s="8" t="s">
        <v>3</v>
      </c>
      <c r="E17" s="1"/>
    </row>
    <row r="18" spans="1:5" ht="15" customHeight="1" x14ac:dyDescent="0.25">
      <c r="A18" s="1"/>
      <c r="B18" s="64" t="s">
        <v>22</v>
      </c>
      <c r="C18" s="38">
        <v>-589549.1891680744</v>
      </c>
      <c r="D18" s="8" t="s">
        <v>3</v>
      </c>
      <c r="E18" s="1"/>
    </row>
    <row r="19" spans="1:5" ht="15" customHeight="1" x14ac:dyDescent="0.25">
      <c r="A19" s="1"/>
      <c r="B19" s="64" t="s">
        <v>23</v>
      </c>
      <c r="C19" s="38">
        <v>0</v>
      </c>
      <c r="D19" s="8" t="s">
        <v>3</v>
      </c>
      <c r="E19" s="43"/>
    </row>
    <row r="20" spans="1:5" ht="15" customHeight="1" x14ac:dyDescent="0.25">
      <c r="A20" s="1"/>
      <c r="B20" s="82" t="s">
        <v>21</v>
      </c>
      <c r="C20" s="10">
        <v>69621867.214151308</v>
      </c>
      <c r="D20" s="11" t="s">
        <v>3</v>
      </c>
      <c r="E20" s="1"/>
    </row>
    <row r="21" spans="1:5" ht="15" customHeight="1" x14ac:dyDescent="0.25">
      <c r="A21" s="1"/>
      <c r="B21" s="33" t="s">
        <v>12</v>
      </c>
      <c r="C21" s="28"/>
      <c r="D21" s="19"/>
      <c r="E21" s="1"/>
    </row>
    <row r="22" spans="1:5" ht="15" customHeight="1" x14ac:dyDescent="0.25">
      <c r="A22" s="1"/>
      <c r="B22" s="31" t="s">
        <v>12</v>
      </c>
      <c r="C22" s="10">
        <v>7128361.6639835006</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-365402</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3594690.5625864314</v>
      </c>
      <c r="D38" s="11" t="s">
        <v>3</v>
      </c>
      <c r="E38" s="1"/>
    </row>
    <row r="39" spans="1:5" x14ac:dyDescent="0.25">
      <c r="A39" s="1"/>
      <c r="B39" s="33" t="s">
        <v>65</v>
      </c>
      <c r="C39" s="45">
        <v>79979517.440721229</v>
      </c>
      <c r="D39" s="30" t="s">
        <v>3</v>
      </c>
      <c r="E39" s="1"/>
    </row>
    <row r="40" spans="1:5" ht="30" customHeight="1" x14ac:dyDescent="0.25">
      <c r="A40" s="1"/>
      <c r="B40" s="107" t="s">
        <v>225</v>
      </c>
      <c r="C40" s="107"/>
      <c r="D40" s="107"/>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xVyVKuHlTNowQ+6xYZef9yW3Bou7wDLlGhn6zr4ltRf/s8vAcGELlCk6P4uUgd3dzP6UE2oLBMufeSoz+Mn6HQ==" saltValue="oEV9ipjm0nS6z11qzl7rPA=="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28937886.822044045</v>
      </c>
      <c r="D9" s="14" t="s">
        <v>3</v>
      </c>
      <c r="E9" s="1"/>
    </row>
    <row r="10" spans="1:5" x14ac:dyDescent="0.25">
      <c r="A10" s="1"/>
      <c r="B10" s="65" t="s">
        <v>125</v>
      </c>
      <c r="C10" s="23">
        <f>('Fane 3. Omkostninger i ØR2024'!C10+'Fane 3. Omkostninger i ØR2024'!C12+'Fane 3. Omkostninger i ØR2024'!C14)*(1+'Fane 15. Nøgletal'!C9)</f>
        <v>539572.63635967998</v>
      </c>
      <c r="D10" s="14" t="s">
        <v>3</v>
      </c>
      <c r="E10" s="1"/>
    </row>
    <row r="11" spans="1:5" x14ac:dyDescent="0.25">
      <c r="A11" s="1"/>
      <c r="B11" s="65" t="s">
        <v>131</v>
      </c>
      <c r="C11" s="23">
        <f>C9*'Fane 15. Nøgletal'!C21+C10*'Fane 15. Nøgletal'!C21</f>
        <v>589549.18916807452</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31222053.418989893</v>
      </c>
      <c r="D15" s="14" t="s">
        <v>3</v>
      </c>
      <c r="E15" s="1"/>
    </row>
    <row r="16" spans="1:5" x14ac:dyDescent="0.25">
      <c r="A16" s="1"/>
      <c r="B16" s="65" t="s">
        <v>184</v>
      </c>
      <c r="C16" s="23">
        <f>('Fane 2.1. Økonomisk ramme 2025'!C10+'Fane 2.1. Økonomisk ramme 2025'!C12+'Fane 2.1. Økonomisk ramme 2025'!C14)*(1+'Fane 15. Nøgletal'!C10)</f>
        <v>3550647.6615897701</v>
      </c>
      <c r="D16" s="14" t="s">
        <v>3</v>
      </c>
      <c r="E16" s="1"/>
    </row>
    <row r="17" spans="1:5" x14ac:dyDescent="0.25">
      <c r="A17" s="1"/>
      <c r="B17" s="65" t="s">
        <v>132</v>
      </c>
      <c r="C17" s="23">
        <f>C15*'Fane 15. Nøgletal'!C21+C16*'Fane 15. Nøgletal'!C21</f>
        <v>695454.0216115932</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36336568.538977653</v>
      </c>
      <c r="D21" s="14" t="s">
        <v>3</v>
      </c>
      <c r="E21" s="1"/>
    </row>
    <row r="22" spans="1:5" x14ac:dyDescent="0.25">
      <c r="A22" s="1"/>
      <c r="B22" s="65" t="s">
        <v>196</v>
      </c>
      <c r="C22" s="23">
        <f>C21*'Fane 15. Nøgletal'!C21</f>
        <v>726731.37077955308</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37970769.372449636</v>
      </c>
      <c r="D26" s="14" t="s">
        <v>3</v>
      </c>
      <c r="E26" s="1"/>
    </row>
    <row r="27" spans="1:5" x14ac:dyDescent="0.25">
      <c r="A27" s="1"/>
      <c r="B27" s="65" t="s">
        <v>194</v>
      </c>
      <c r="C27" s="23">
        <f>C26*'Fane 15. Nøgletal'!C21</f>
        <v>759415.3874489927</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39678466.754206181</v>
      </c>
      <c r="D31" s="14" t="s">
        <v>3</v>
      </c>
      <c r="E31" s="1"/>
    </row>
    <row r="32" spans="1:5" x14ac:dyDescent="0.25">
      <c r="A32" s="1"/>
      <c r="B32" s="65" t="s">
        <v>195</v>
      </c>
      <c r="C32" s="23">
        <f>C31*'Fane 15. Nøgletal'!C21</f>
        <v>793569.33508412365</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Q0+MNggq5oD3fTD0YFyK3Y5YM0NEDnbM8QqxWiD7FPI1xBj1fo/UyuIzrBU7stHQkb/OCFOBSpcg6Gw3FWdkQ==" saltValue="0pRlhJusg00CJ1OX94NPT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41768276.944696382</v>
      </c>
      <c r="D9" s="14" t="s">
        <v>3</v>
      </c>
      <c r="E9" s="1"/>
    </row>
    <row r="10" spans="1:5" x14ac:dyDescent="0.25">
      <c r="A10" s="1"/>
      <c r="B10" s="65" t="s">
        <v>126</v>
      </c>
      <c r="C10" s="23">
        <f>('Fane 3. Omkostninger i ØR2024'!C11+'Fane 3. Omkostninger i ØR2024'!C13+'Fane 3. Omkostninger i ØR2024'!C15)*(1+'Fane 15. Nøgletal'!C9)</f>
        <v>55164.618035699197</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45202775.64100083</v>
      </c>
      <c r="D15" s="14" t="s">
        <v>3</v>
      </c>
      <c r="E15" s="1"/>
    </row>
    <row r="16" spans="1:5" x14ac:dyDescent="0.25">
      <c r="A16" s="1"/>
      <c r="B16" s="65" t="s">
        <v>185</v>
      </c>
      <c r="C16" s="23">
        <f>('Fane 2.1. Økonomisk ramme 2025'!C11+'Fane 2.1. Økonomisk ramme 2025'!C13+'Fane 2.1. Økonomisk ramme 2025'!C15)*(1+'Fane 15. Nøgletal'!C10)</f>
        <v>727589.69293187011</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48975548.555572435</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52222627.424806885</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55684987.623071581</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4MKBxwHjZDhDWk+rcf18aP6xfOZvjOJ2Sej2tZxmcczWMnmIQVcfeUu4TDY9GNhP5Fs9Kvv2DZXYv5t/jb7uQ==" saltValue="O1rHdOeMQuf9YgjZwK05w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220</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3hruvpAyi02Ri+eOt2tf6OHngmUIspeXkeZ7JNIG+c1j8Y3rtbiiLtIa858jhi7L08yv9EKVpXuAfyr5+Ek/1w==" saltValue="TDxbYJ9VHUQ1buzaxWoR2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2024-08-16T13:57:35Z</dcterms:modified>
</cp:coreProperties>
</file>