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Ringkøbing-Skjern Spildevand AS (S077)\ØR2023\"/>
    </mc:Choice>
  </mc:AlternateContent>
  <bookViews>
    <workbookView xWindow="3120" yWindow="990" windowWidth="12750" windowHeight="4620" tabRatio="872" firstSheet="13" activeTab="19"/>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E24" i="32" l="1"/>
  <c r="E28" i="32" s="1"/>
  <c r="C32" i="2" s="1"/>
  <c r="E32" i="32" l="1"/>
  <c r="E34" i="32" s="1"/>
  <c r="C13" i="19"/>
  <c r="C20" i="22" l="1"/>
  <c r="C20" i="23"/>
  <c r="C20" i="15"/>
  <c r="E34" i="27"/>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4"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3" i="37" s="1"/>
  <c r="C14" i="37" l="1"/>
  <c r="C10" i="2" s="1"/>
  <c r="G44" i="30" s="1"/>
  <c r="G35" i="36"/>
  <c r="G37" i="36" l="1"/>
  <c r="E19" i="27" s="1"/>
  <c r="G41" i="36" l="1"/>
  <c r="G27" i="30"/>
  <c r="G31" i="30" l="1"/>
  <c r="E10" i="37"/>
  <c r="E13" i="37" s="1"/>
  <c r="G33" i="30" l="1"/>
  <c r="G37" i="30" s="1"/>
  <c r="G39" i="30" s="1"/>
  <c r="E14"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<sst xmlns="http://schemas.openxmlformats.org/spreadsheetml/2006/main" count="608" uniqueCount="289">
  <si>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</si>
  <si>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</si>
  <si>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</si>
  <si>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</si>
  <si>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</si>
  <si>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</si>
  <si>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</si>
  <si>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</si>
  <si>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</si>
  <si>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</si>
  <si>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</si>
  <si>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</si>
  <si>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</si>
  <si>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</si>
  <si>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</si>
  <si>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</si>
  <si>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</si>
  <si>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</si>
  <si>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</si>
  <si>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</si>
  <si>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</si>
  <si>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</si>
  <si>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</si>
  <si>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</si>
  <si>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</si>
  <si>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</si>
  <si>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</si>
  <si>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</si>
  <si>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</si>
  <si>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</si>
  <si>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</si>
  <si>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</si>
  <si>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</si>
  <si>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</si>
  <si>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</si>
  <si>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</si>
  <si>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</si>
  <si>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</si>
  <si>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</si>
  <si>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</si>
  <si>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</si>
  <si>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</si>
  <si>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</si>
  <si>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</si>
  <si>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</si>
  <si>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</si>
  <si>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</si>
  <si>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</si>
  <si>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</si>
  <si>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</si>
  <si>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</si>
  <si>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</si>
  <si>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</si>
  <si>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</si>
  <si>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</si>
  <si>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</si>
  <si>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</si>
  <si>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</si>
  <si>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</si>
  <si>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</si>
  <si>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</si>
  <si>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</si>
  <si>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</si>
  <si>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</si>
  <si>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</si>
  <si>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</si>
  <si>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</si>
  <si>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</si>
  <si>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</si>
  <si>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</si>
  <si>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</si>
  <si>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</si>
  <si>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</si>
  <si>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</si>
  <si>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</si>
  <si>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</si>
  <si>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</si>
  <si>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</si>
  <si>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</si>
  <si>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</si>
  <si>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</si>
  <si>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</si>
  <si>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</si>
  <si>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</si>
  <si>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</si>
  <si>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</si>
  <si>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</si>
  <si>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</si>
  <si>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</si>
  <si>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</si>
  <si>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</si>
  <si>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</si>
  <si>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</si>
  <si>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</si>
  <si>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</si>
  <si>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</si>
  <si>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</si>
  <si>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</si>
  <si>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</si>
  <si>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</si>
  <si>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</si>
  <si>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</si>
  <si>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</si>
  <si>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</si>
  <si>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</si>
  <si>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</si>
  <si>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</si>
  <si>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</si>
  <si>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</si>
  <si>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</si>
  <si>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</si>
  <si>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</si>
  <si>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</si>
  <si>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</si>
  <si>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</si>
  <si>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</si>
  <si>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</si>
  <si>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</si>
  <si>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</si>
  <si>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</si>
  <si>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</si>
  <si>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</si>
  <si>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</si>
  <si>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</si>
  <si>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</si>
  <si>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</si>
  <si>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</si>
  <si>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</si>
  <si>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</si>
  <si>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</si>
  <si>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</si>
  <si>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</si>
  <si>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</si>
  <si>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</si>
  <si>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</si>
  <si>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</si>
  <si>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</si>
  <si>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</si>
  <si>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</si>
  <si>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</si>
  <si>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</si>
  <si>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</si>
  <si>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</si>
  <si>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</si>
  <si>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</si>
  <si>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</si>
  <si>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</si>
  <si>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</si>
  <si>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</si>
  <si>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</si>
  <si>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</si>
  <si>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</si>
  <si>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</si>
  <si>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</si>
  <si>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</si>
  <si>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</si>
  <si>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</si>
  <si>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</si>
  <si>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</si>
  <si>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</si>
  <si>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</si>
  <si>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</si>
  <si>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</si>
  <si>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</si>
  <si>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</si>
  <si>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</si>
  <si>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</si>
  <si>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</si>
  <si>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</si>
  <si>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</si>
  <si>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</si>
  <si>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</si>
  <si>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</si>
  <si>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</si>
  <si>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</si>
  <si>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</si>
  <si>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</si>
  <si>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</si>
  <si>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</si>
  <si>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</si>
  <si>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</si>
  <si>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</si>
  <si>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</si>
  <si>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</si>
  <si>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</si>
  <si>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</si>
  <si>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</si>
  <si>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</si>
  <si>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</si>
  <si>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</si>
  <si>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</si>
  <si>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</si>
  <si>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</si>
  <si>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</si>
  <si>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</si>
  <si>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</si>
  <si>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</si>
  <si>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</si>
  <si>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</si>
  <si>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</si>
  <si>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</si>
  <si>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</si>
  <si>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</si>
  <si>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</si>
  <si>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</si>
  <si>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</si>
  <si>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</si>
  <si>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</si>
  <si>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</si>
  <si>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</si>
  <si>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</si>
  <si>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</si>
  <si>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</si>
  <si>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</si>
  <si>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</si>
  <si>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</si>
  <si>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</si>
  <si>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</si>
  <si>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</si>
  <si>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</si>
  <si>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</si>
  <si>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</si>
  <si>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</si>
  <si>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</si>
  <si>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</si>
  <si>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</si>
  <si>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</si>
  <si>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</si>
  <si>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</si>
  <si>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</si>
  <si>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</si>
  <si>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</si>
  <si>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</si>
  <si>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</si>
  <si>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</si>
  <si>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</si>
  <si>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</si>
  <si>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</si>
  <si>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</si>
  <si>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</si>
  <si>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</si>
  <si>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</si>
  <si>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</si>
  <si>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</si>
  <si>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</si>
  <si>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</si>
  <si>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</si>
  <si>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</si>
  <si>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</si>
  <si>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</si>
  <si>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</si>
  <si>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</si>
  <si>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</si>
  <si>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</si>
  <si>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</si>
  <si>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</si>
  <si>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</si>
  <si>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</si>
  <si>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</si>
  <si>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</si>
  <si>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</si>
  <si>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</si>
  <si>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</si>
  <si>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</si>
  <si>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</si>
  <si>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Afgift til Forsyningssekretariatet</t>
  </si>
  <si>
    <t>Ejendomsskatter</t>
  </si>
  <si>
    <t>Erstatninger</t>
  </si>
  <si>
    <t>Separatkloakering</t>
  </si>
  <si>
    <t>Udvidelser</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</si>
  <si>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</si>
  <si>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</si>
  <si>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</si>
  <si>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</si>
  <si>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</si>
  <si>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</si>
  <si>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</si>
  <si>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</si>
  <si>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</si>
  <si>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</si>
  <si>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</si>
  <si>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Indregnet fradrag i økonomisk ramme for 2022</t>
  </si>
  <si>
    <t>Indregnet fradrag i økonomisk ramme for 2023</t>
  </si>
  <si>
    <t>Korrektion af fradrag i den økonomiske ramme for 2023</t>
  </si>
  <si>
    <t>Tillæg/fradrag i den økonnomiske ramme for 2023</t>
  </si>
  <si>
    <t>Ingen engangstillæg</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</si>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</sst>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3" xfId="0"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8" borderId="3" xfId="0" applyFont="1" applyFill="1" applyBorder="1" applyAlignment="1" applyProtection="1">
      <alignment horizontal="left" vertical="top" wrapText="1"/>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view="pageLayout" topLeftCell="A9"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0" t="s">
        <v>4</v>
      </c>
      <c r="E6" s="110"/>
      <c r="F6" s="110"/>
      <c r="G6" s="110"/>
      <c r="H6" s="3"/>
      <c r="I6" s="1"/>
    </row>
    <row r="7" spans="1:9" ht="15" customHeight="1" x14ac:dyDescent="0.25">
      <c r="A7" s="1"/>
      <c r="B7" s="1"/>
      <c r="C7" s="3"/>
      <c r="D7" s="110"/>
      <c r="E7" s="110"/>
      <c r="F7" s="110"/>
      <c r="G7" s="110"/>
      <c r="H7" s="3"/>
      <c r="I7" s="1"/>
    </row>
    <row r="8" spans="1:9" ht="15.75" x14ac:dyDescent="0.25">
      <c r="A8" s="1"/>
      <c r="B8" s="1"/>
      <c r="C8" s="4"/>
      <c r="D8" s="115" t="s">
        <v>225</v>
      </c>
      <c r="E8" s="115"/>
      <c r="F8" s="115"/>
      <c r="G8" s="115"/>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4" t="s">
        <v>5</v>
      </c>
      <c r="E11" s="114"/>
      <c r="F11" s="114"/>
      <c r="G11" s="114"/>
      <c r="H11" s="5"/>
      <c r="I11" s="1"/>
    </row>
    <row r="12" spans="1:9" x14ac:dyDescent="0.25">
      <c r="A12" s="1"/>
      <c r="B12" s="1"/>
      <c r="C12" s="1"/>
      <c r="D12" s="1"/>
      <c r="E12" s="1"/>
      <c r="F12" s="1"/>
      <c r="G12" s="1"/>
      <c r="H12" s="5"/>
      <c r="I12" s="1"/>
    </row>
    <row r="13" spans="1:9" x14ac:dyDescent="0.25">
      <c r="A13" s="1"/>
      <c r="B13" s="1"/>
      <c r="C13" s="6" t="s">
        <v>6</v>
      </c>
      <c r="D13" s="116" t="s">
        <v>169</v>
      </c>
      <c r="E13" s="117"/>
      <c r="F13" s="117"/>
      <c r="G13" s="118"/>
      <c r="H13" s="5"/>
      <c r="I13" s="1"/>
    </row>
    <row r="14" spans="1:9" x14ac:dyDescent="0.25">
      <c r="A14" s="1"/>
      <c r="B14" s="1"/>
      <c r="C14" s="6" t="s">
        <v>16</v>
      </c>
      <c r="D14" s="107" t="s">
        <v>235</v>
      </c>
      <c r="E14" s="108"/>
      <c r="F14" s="108"/>
      <c r="G14" s="109"/>
      <c r="H14" s="5"/>
      <c r="I14" s="1"/>
    </row>
    <row r="15" spans="1:9" x14ac:dyDescent="0.25">
      <c r="A15" s="1"/>
      <c r="B15" s="1"/>
      <c r="C15" s="6" t="s">
        <v>34</v>
      </c>
      <c r="D15" s="107" t="s">
        <v>170</v>
      </c>
      <c r="E15" s="108"/>
      <c r="F15" s="108"/>
      <c r="G15" s="109"/>
      <c r="H15" s="5"/>
      <c r="I15" s="1"/>
    </row>
    <row r="16" spans="1:9" x14ac:dyDescent="0.25">
      <c r="A16" s="1"/>
      <c r="B16" s="1"/>
      <c r="C16" s="6" t="s">
        <v>35</v>
      </c>
      <c r="D16" s="107" t="s">
        <v>182</v>
      </c>
      <c r="E16" s="108"/>
      <c r="F16" s="108"/>
      <c r="G16" s="109"/>
      <c r="H16" s="5"/>
      <c r="I16" s="1"/>
    </row>
    <row r="17" spans="1:9" x14ac:dyDescent="0.25">
      <c r="A17" s="1"/>
      <c r="B17" s="1"/>
      <c r="C17" s="6" t="s">
        <v>119</v>
      </c>
      <c r="D17" s="107" t="s">
        <v>183</v>
      </c>
      <c r="E17" s="108"/>
      <c r="F17" s="108"/>
      <c r="G17" s="109"/>
      <c r="H17" s="5"/>
      <c r="I17" s="1"/>
    </row>
    <row r="18" spans="1:9" x14ac:dyDescent="0.25">
      <c r="A18" s="1"/>
      <c r="B18" s="1"/>
      <c r="C18" s="6" t="s">
        <v>106</v>
      </c>
      <c r="D18" s="104" t="s">
        <v>95</v>
      </c>
      <c r="E18" s="105"/>
      <c r="F18" s="105"/>
      <c r="G18" s="106"/>
      <c r="H18" s="5"/>
      <c r="I18" s="1"/>
    </row>
    <row r="19" spans="1:9" x14ac:dyDescent="0.25">
      <c r="A19" s="1"/>
      <c r="B19" s="1"/>
      <c r="C19" s="6" t="s">
        <v>107</v>
      </c>
      <c r="D19" s="104" t="s">
        <v>96</v>
      </c>
      <c r="E19" s="105"/>
      <c r="F19" s="105"/>
      <c r="G19" s="106"/>
      <c r="H19" s="5"/>
      <c r="I19" s="1"/>
    </row>
    <row r="20" spans="1:9" x14ac:dyDescent="0.25">
      <c r="A20" s="1"/>
      <c r="B20" s="1"/>
      <c r="C20" s="6" t="s">
        <v>7</v>
      </c>
      <c r="D20" s="104" t="s">
        <v>10</v>
      </c>
      <c r="E20" s="105"/>
      <c r="F20" s="105"/>
      <c r="G20" s="106"/>
      <c r="H20" s="5"/>
      <c r="I20" s="1"/>
    </row>
    <row r="21" spans="1:9" x14ac:dyDescent="0.25">
      <c r="A21" s="1"/>
      <c r="B21" s="1"/>
      <c r="C21" s="6" t="s">
        <v>108</v>
      </c>
      <c r="D21" s="111" t="s">
        <v>12</v>
      </c>
      <c r="E21" s="112"/>
      <c r="F21" s="112"/>
      <c r="G21" s="113"/>
      <c r="H21" s="5"/>
      <c r="I21" s="1"/>
    </row>
    <row r="22" spans="1:9" x14ac:dyDescent="0.25">
      <c r="A22" s="1"/>
      <c r="B22" s="1"/>
      <c r="C22" s="6" t="s">
        <v>83</v>
      </c>
      <c r="D22" s="98" t="s">
        <v>184</v>
      </c>
      <c r="E22" s="99"/>
      <c r="F22" s="99"/>
      <c r="G22" s="100"/>
      <c r="H22" s="5"/>
      <c r="I22" s="1"/>
    </row>
    <row r="23" spans="1:9" x14ac:dyDescent="0.25">
      <c r="A23" s="1"/>
      <c r="B23" s="1"/>
      <c r="C23" s="6" t="s">
        <v>8</v>
      </c>
      <c r="D23" s="98" t="s">
        <v>253</v>
      </c>
      <c r="E23" s="99"/>
      <c r="F23" s="99"/>
      <c r="G23" s="100"/>
      <c r="H23" s="5"/>
      <c r="I23" s="1"/>
    </row>
    <row r="24" spans="1:9" x14ac:dyDescent="0.25">
      <c r="A24" s="1"/>
      <c r="B24" s="1"/>
      <c r="C24" s="6" t="s">
        <v>9</v>
      </c>
      <c r="D24" s="98" t="s">
        <v>185</v>
      </c>
      <c r="E24" s="99"/>
      <c r="F24" s="99"/>
      <c r="G24" s="100"/>
      <c r="H24" s="5"/>
      <c r="I24" s="1"/>
    </row>
    <row r="25" spans="1:9" x14ac:dyDescent="0.25">
      <c r="A25" s="1"/>
      <c r="B25" s="1"/>
      <c r="C25" s="6" t="s">
        <v>246</v>
      </c>
      <c r="D25" s="98" t="s">
        <v>237</v>
      </c>
      <c r="E25" s="99"/>
      <c r="F25" s="99"/>
      <c r="G25" s="100"/>
      <c r="H25" s="1"/>
      <c r="I25" s="1"/>
    </row>
    <row r="26" spans="1:9" x14ac:dyDescent="0.25">
      <c r="A26" s="1"/>
      <c r="B26" s="1"/>
      <c r="C26" s="6" t="s">
        <v>247</v>
      </c>
      <c r="D26" s="98" t="s">
        <v>84</v>
      </c>
      <c r="E26" s="99"/>
      <c r="F26" s="99"/>
      <c r="G26" s="100"/>
      <c r="H26" s="1"/>
      <c r="I26" s="1"/>
    </row>
    <row r="27" spans="1:9" x14ac:dyDescent="0.25">
      <c r="A27" s="1"/>
      <c r="B27" s="1"/>
      <c r="C27" s="6" t="s">
        <v>248</v>
      </c>
      <c r="D27" s="98" t="s">
        <v>85</v>
      </c>
      <c r="E27" s="99"/>
      <c r="F27" s="99"/>
      <c r="G27" s="100"/>
      <c r="H27" s="1"/>
      <c r="I27" s="1"/>
    </row>
    <row r="28" spans="1:9" x14ac:dyDescent="0.25">
      <c r="A28" s="1"/>
      <c r="B28" s="1"/>
      <c r="C28" s="6" t="s">
        <v>15</v>
      </c>
      <c r="D28" s="98" t="s">
        <v>86</v>
      </c>
      <c r="E28" s="99"/>
      <c r="F28" s="99"/>
      <c r="G28" s="100"/>
      <c r="H28" s="1"/>
      <c r="I28" s="1"/>
    </row>
    <row r="29" spans="1:9" x14ac:dyDescent="0.25">
      <c r="A29" s="1"/>
      <c r="B29" s="1"/>
      <c r="C29" s="6" t="s">
        <v>37</v>
      </c>
      <c r="D29" s="98" t="s">
        <v>134</v>
      </c>
      <c r="E29" s="99"/>
      <c r="F29" s="99"/>
      <c r="G29" s="100"/>
      <c r="H29" s="1"/>
      <c r="I29" s="1"/>
    </row>
    <row r="30" spans="1:9" x14ac:dyDescent="0.25">
      <c r="A30" s="1"/>
      <c r="B30" s="1"/>
      <c r="C30" s="6" t="s">
        <v>38</v>
      </c>
      <c r="D30" s="98" t="s">
        <v>36</v>
      </c>
      <c r="E30" s="99"/>
      <c r="F30" s="99"/>
      <c r="G30" s="100"/>
      <c r="H30" s="1"/>
      <c r="I30" s="1"/>
    </row>
    <row r="31" spans="1:9" x14ac:dyDescent="0.25">
      <c r="A31" s="1"/>
      <c r="B31" s="1"/>
      <c r="C31" s="6" t="s">
        <v>249</v>
      </c>
      <c r="D31" s="101" t="s">
        <v>105</v>
      </c>
      <c r="E31" s="102"/>
      <c r="F31" s="102"/>
      <c r="G31" s="10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Ulnd7wos+1nV4mRKu1eucwpUXuwqZQdUdaCm2B8bVUVAc0ThA4EElGTRXS2CXV+Pdig6YybpD7bzfV3t9CD4+A==" saltValue="WY2dwRk+Jsh+2rAf8ZWoeg=="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6" t="s">
        <v>32</v>
      </c>
      <c r="C9" s="58" t="s">
        <v>240</v>
      </c>
      <c r="D9" s="11"/>
      <c r="E9" s="1"/>
      <c r="F9" s="1"/>
    </row>
    <row r="10" spans="1:6" x14ac:dyDescent="0.25">
      <c r="A10" s="1"/>
      <c r="B10" s="94" t="s">
        <v>265</v>
      </c>
      <c r="C10" s="9">
        <v>112524</v>
      </c>
      <c r="D10" s="14" t="s">
        <v>3</v>
      </c>
      <c r="E10" s="1"/>
      <c r="F10" s="1"/>
    </row>
    <row r="11" spans="1:6" x14ac:dyDescent="0.25">
      <c r="A11" s="1"/>
      <c r="B11" s="94" t="s">
        <v>266</v>
      </c>
      <c r="C11" s="9">
        <v>42025</v>
      </c>
      <c r="D11" s="14" t="s">
        <v>3</v>
      </c>
      <c r="E11" s="1"/>
      <c r="F11" s="1"/>
    </row>
    <row r="12" spans="1:6" x14ac:dyDescent="0.25">
      <c r="A12" s="1"/>
      <c r="B12" s="94" t="s">
        <v>267</v>
      </c>
      <c r="C12" s="9">
        <v>278267.59259259258</v>
      </c>
      <c r="D12" s="14" t="s">
        <v>3</v>
      </c>
      <c r="E12" s="1"/>
      <c r="F12" s="1"/>
    </row>
    <row r="13" spans="1:6" x14ac:dyDescent="0.25">
      <c r="A13" s="1"/>
      <c r="B13" s="32" t="s">
        <v>200</v>
      </c>
      <c r="C13" s="12">
        <f>SUM(C10:C12)</f>
        <v>432816.59259259258</v>
      </c>
      <c r="D13" s="13" t="s">
        <v>3</v>
      </c>
      <c r="E13" s="1"/>
      <c r="F13" s="1"/>
    </row>
    <row r="14" spans="1:6" x14ac:dyDescent="0.25">
      <c r="A14" s="1"/>
      <c r="B14" s="32" t="s">
        <v>201</v>
      </c>
      <c r="C14" s="12">
        <f>C13*(1+'Fane 15. Nøgletal'!C15)^2</f>
        <v>464181.66842197336</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31" t="s">
        <v>117</v>
      </c>
      <c r="C17" s="132"/>
      <c r="D17" s="133"/>
      <c r="E17" s="1"/>
      <c r="F17" s="1"/>
    </row>
    <row r="18" spans="1:6" x14ac:dyDescent="0.25">
      <c r="A18" s="1"/>
      <c r="B18" s="94" t="s">
        <v>99</v>
      </c>
      <c r="C18" s="9">
        <v>0</v>
      </c>
      <c r="D18" s="14" t="s">
        <v>3</v>
      </c>
      <c r="E18" s="1"/>
      <c r="F18" s="1"/>
    </row>
    <row r="19" spans="1:6" x14ac:dyDescent="0.25">
      <c r="A19" s="1"/>
      <c r="B19" s="94" t="s">
        <v>129</v>
      </c>
      <c r="C19" s="9">
        <v>0</v>
      </c>
      <c r="D19" s="14" t="s">
        <v>3</v>
      </c>
      <c r="E19" s="1"/>
      <c r="F19" s="1"/>
    </row>
    <row r="20" spans="1:6" x14ac:dyDescent="0.25">
      <c r="A20" s="1"/>
      <c r="B20" s="94" t="s">
        <v>155</v>
      </c>
      <c r="C20" s="9">
        <v>0</v>
      </c>
      <c r="D20" s="14" t="s">
        <v>3</v>
      </c>
      <c r="E20" s="1"/>
      <c r="F20" s="1"/>
    </row>
    <row r="21" spans="1:6" x14ac:dyDescent="0.25">
      <c r="A21" s="1"/>
      <c r="B21" s="33" t="s">
        <v>202</v>
      </c>
      <c r="C21" s="9">
        <v>0</v>
      </c>
      <c r="D21" s="40" t="s">
        <v>3</v>
      </c>
      <c r="E21" s="1"/>
      <c r="F21" s="1"/>
    </row>
    <row r="22" spans="1:6" x14ac:dyDescent="0.25">
      <c r="A22" s="1"/>
      <c r="B22" s="131"/>
      <c r="C22" s="132"/>
      <c r="D22" s="133"/>
      <c r="E22" s="1"/>
      <c r="F22" s="1"/>
    </row>
    <row r="23" spans="1:6" x14ac:dyDescent="0.25">
      <c r="A23" s="1"/>
      <c r="B23" s="1"/>
      <c r="C23" s="1"/>
      <c r="D23" s="1"/>
      <c r="E23" s="1"/>
      <c r="F23" s="1"/>
    </row>
    <row r="24" spans="1:6" x14ac:dyDescent="0.25">
      <c r="A24" s="1"/>
      <c r="B24" s="1"/>
      <c r="C24" s="1"/>
      <c r="D24" s="1"/>
      <c r="E24" s="1"/>
      <c r="F24" s="1"/>
    </row>
    <row r="25" spans="1:6" x14ac:dyDescent="0.25">
      <c r="A25" s="1"/>
      <c r="B25" s="131" t="s">
        <v>98</v>
      </c>
      <c r="C25" s="132"/>
      <c r="D25" s="133"/>
      <c r="E25" s="1"/>
      <c r="F25" s="1"/>
    </row>
    <row r="26" spans="1:6" x14ac:dyDescent="0.25">
      <c r="A26" s="1"/>
      <c r="B26" s="94" t="s">
        <v>99</v>
      </c>
      <c r="C26" s="9">
        <v>0</v>
      </c>
      <c r="D26" s="14" t="s">
        <v>3</v>
      </c>
      <c r="E26" s="1"/>
      <c r="F26" s="1"/>
    </row>
    <row r="27" spans="1:6" x14ac:dyDescent="0.25">
      <c r="A27" s="1"/>
      <c r="B27" s="94" t="s">
        <v>129</v>
      </c>
      <c r="C27" s="9">
        <v>0</v>
      </c>
      <c r="D27" s="14" t="s">
        <v>3</v>
      </c>
      <c r="E27" s="1"/>
      <c r="F27" s="1"/>
    </row>
    <row r="28" spans="1:6" x14ac:dyDescent="0.25">
      <c r="A28" s="1"/>
      <c r="B28" s="94" t="s">
        <v>155</v>
      </c>
      <c r="C28" s="9">
        <v>0</v>
      </c>
      <c r="D28" s="14" t="s">
        <v>3</v>
      </c>
      <c r="E28" s="1"/>
      <c r="F28" s="1"/>
    </row>
    <row r="29" spans="1:6" x14ac:dyDescent="0.25">
      <c r="A29" s="1"/>
      <c r="B29" s="33" t="s">
        <v>202</v>
      </c>
      <c r="C29" s="9">
        <v>0</v>
      </c>
      <c r="D29" s="40" t="s">
        <v>3</v>
      </c>
      <c r="E29" s="1"/>
      <c r="F29" s="1"/>
    </row>
    <row r="30" spans="1:6" x14ac:dyDescent="0.25">
      <c r="A30" s="1"/>
      <c r="B30" s="131"/>
      <c r="C30" s="132"/>
      <c r="D30" s="133"/>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49"/>
      <c r="B47" s="49"/>
      <c r="C47" s="49"/>
      <c r="D47" s="49"/>
      <c r="E47" s="49"/>
      <c r="F47" s="49"/>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sheetData>
  <sheetProtection algorithmName="SHA-512" hashValue="G79b3JnVeKcfjr+OOA+q604yRAFVJ/ExyYcxsHCdwgn89WiOLyHaJez7KZ4Uf1HMLq7mRzbZAp8r2iYlkE57pA==" saltValue="DrhoAovDQ7vDHhsbtJzfbQ==" spinCount="100000" sheet="1" objects="1" scenarios="1"/>
  <mergeCells count="6">
    <mergeCell ref="B30:D30"/>
    <mergeCell ref="B3:D4"/>
    <mergeCell ref="B8:D8"/>
    <mergeCell ref="B17:D17"/>
    <mergeCell ref="B25:D25"/>
    <mergeCell ref="B22:D22"/>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2"/>
  <sheetViews>
    <sheetView showGridLines="0" view="pageLayout" zoomScale="80" zoomScaleNormal="100" zoomScalePageLayoutView="80" workbookViewId="0">
      <selection activeCell="C13" sqref="C13"/>
    </sheetView>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203</v>
      </c>
      <c r="C3" s="124"/>
      <c r="D3" s="124"/>
      <c r="E3" s="124"/>
      <c r="F3" s="124"/>
      <c r="G3" s="1"/>
    </row>
    <row r="4" spans="1:7" ht="15" customHeight="1" x14ac:dyDescent="0.25">
      <c r="A4" s="1"/>
      <c r="B4" s="124"/>
      <c r="C4" s="124"/>
      <c r="D4" s="124"/>
      <c r="E4" s="124"/>
      <c r="F4" s="124"/>
      <c r="G4" s="1"/>
    </row>
    <row r="5" spans="1:7" ht="15" customHeight="1" x14ac:dyDescent="0.25">
      <c r="A5" s="1"/>
      <c r="B5" s="82"/>
      <c r="C5" s="82"/>
      <c r="D5" s="82"/>
      <c r="E5" s="82"/>
      <c r="F5" s="82"/>
      <c r="G5" s="1"/>
    </row>
    <row r="6" spans="1:7" ht="15" customHeight="1" x14ac:dyDescent="0.25">
      <c r="A6" s="1"/>
      <c r="B6" s="82"/>
      <c r="C6" s="82"/>
      <c r="D6" s="82"/>
      <c r="E6" s="82"/>
      <c r="F6" s="82"/>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36" t="s">
        <v>204</v>
      </c>
      <c r="C9" s="137"/>
      <c r="D9" s="138"/>
      <c r="E9" s="9">
        <v>-7062798.7045288831</v>
      </c>
      <c r="F9" s="14" t="s">
        <v>3</v>
      </c>
      <c r="G9" s="1"/>
    </row>
    <row r="10" spans="1:7" x14ac:dyDescent="0.25">
      <c r="A10" s="1"/>
      <c r="B10" s="136" t="s">
        <v>263</v>
      </c>
      <c r="C10" s="137"/>
      <c r="D10" s="138"/>
      <c r="E10" s="9">
        <v>0</v>
      </c>
      <c r="F10" s="14" t="s">
        <v>3</v>
      </c>
      <c r="G10" s="1"/>
    </row>
    <row r="11" spans="1:7" x14ac:dyDescent="0.25">
      <c r="A11" s="1"/>
      <c r="B11" s="32"/>
      <c r="C11" s="27"/>
      <c r="D11" s="27"/>
      <c r="E11" s="27"/>
      <c r="F11" s="19"/>
      <c r="G11" s="1"/>
    </row>
    <row r="12" spans="1:7" ht="81" customHeight="1" x14ac:dyDescent="0.25">
      <c r="A12" s="1"/>
      <c r="B12" s="121" t="s">
        <v>287</v>
      </c>
      <c r="C12" s="122"/>
      <c r="D12" s="122"/>
      <c r="E12" s="122"/>
      <c r="F12" s="123"/>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36" t="s">
        <v>281</v>
      </c>
      <c r="C15" s="137"/>
      <c r="D15" s="138"/>
      <c r="E15" s="9">
        <v>0</v>
      </c>
      <c r="F15" s="14" t="s">
        <v>3</v>
      </c>
      <c r="G15" s="1"/>
    </row>
    <row r="16" spans="1:7" x14ac:dyDescent="0.25">
      <c r="A16" s="1"/>
      <c r="B16" s="136" t="s">
        <v>282</v>
      </c>
      <c r="C16" s="137"/>
      <c r="D16" s="138"/>
      <c r="E16" s="9">
        <v>0</v>
      </c>
      <c r="F16" s="14" t="s">
        <v>3</v>
      </c>
      <c r="G16" s="1"/>
    </row>
    <row r="17" spans="1:7" x14ac:dyDescent="0.25">
      <c r="A17" s="1"/>
      <c r="B17" s="32"/>
      <c r="C17" s="27"/>
      <c r="D17" s="27"/>
      <c r="E17" s="27"/>
      <c r="F17" s="19"/>
      <c r="G17" s="1"/>
    </row>
    <row r="18" spans="1:7" ht="31.5" customHeight="1" x14ac:dyDescent="0.25">
      <c r="A18" s="1"/>
      <c r="B18" s="121" t="s">
        <v>288</v>
      </c>
      <c r="C18" s="122"/>
      <c r="D18" s="122"/>
      <c r="E18" s="122"/>
      <c r="F18" s="123"/>
      <c r="G18" s="1"/>
    </row>
    <row r="19" spans="1:7" ht="28.5" customHeight="1" x14ac:dyDescent="0.25">
      <c r="A19" s="1"/>
      <c r="B19" s="1"/>
      <c r="C19" s="1"/>
      <c r="D19" s="1"/>
      <c r="E19" s="1"/>
      <c r="F19" s="1"/>
      <c r="G19" s="1"/>
    </row>
    <row r="20" spans="1:7" ht="28.5" customHeight="1" x14ac:dyDescent="0.25">
      <c r="A20" s="1"/>
      <c r="B20" s="86" t="s">
        <v>205</v>
      </c>
      <c r="C20" s="87"/>
      <c r="D20" s="87"/>
      <c r="E20" s="87"/>
      <c r="F20" s="88"/>
      <c r="G20" s="1"/>
    </row>
    <row r="21" spans="1:7" x14ac:dyDescent="0.25">
      <c r="A21" s="1"/>
      <c r="B21" s="91" t="s">
        <v>206</v>
      </c>
      <c r="C21" s="92"/>
      <c r="D21" s="93"/>
      <c r="E21" s="9">
        <v>69860301.564190626</v>
      </c>
      <c r="F21" s="14" t="s">
        <v>3</v>
      </c>
      <c r="G21" s="1"/>
    </row>
    <row r="22" spans="1:7" x14ac:dyDescent="0.25">
      <c r="A22" s="1"/>
      <c r="B22" s="91" t="s">
        <v>207</v>
      </c>
      <c r="C22" s="92"/>
      <c r="D22" s="93"/>
      <c r="E22" s="9">
        <v>69209469</v>
      </c>
      <c r="F22" s="14" t="s">
        <v>3</v>
      </c>
      <c r="G22" s="1"/>
    </row>
    <row r="23" spans="1:7" x14ac:dyDescent="0.25">
      <c r="A23" s="1"/>
      <c r="B23" s="91" t="s">
        <v>33</v>
      </c>
      <c r="C23" s="92"/>
      <c r="D23" s="93"/>
      <c r="E23" s="9">
        <v>0</v>
      </c>
      <c r="F23" s="14" t="s">
        <v>3</v>
      </c>
      <c r="G23" s="1"/>
    </row>
    <row r="24" spans="1:7" x14ac:dyDescent="0.25">
      <c r="A24" s="1"/>
      <c r="B24" s="89" t="s">
        <v>270</v>
      </c>
      <c r="C24" s="90"/>
      <c r="D24" s="95"/>
      <c r="E24" s="72">
        <f>E21-(E22-E23)</f>
        <v>650832.56419062614</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283</v>
      </c>
      <c r="C27" s="132"/>
      <c r="D27" s="132"/>
      <c r="E27" s="132"/>
      <c r="F27" s="133"/>
      <c r="G27" s="1"/>
    </row>
    <row r="28" spans="1:7" x14ac:dyDescent="0.25">
      <c r="A28" s="1"/>
      <c r="B28" s="134" t="s">
        <v>284</v>
      </c>
      <c r="C28" s="135"/>
      <c r="D28" s="151"/>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264</v>
      </c>
      <c r="C31" s="132"/>
      <c r="D31" s="132"/>
      <c r="E31" s="132"/>
      <c r="F31" s="133"/>
      <c r="G31" s="1"/>
    </row>
    <row r="32" spans="1:7" x14ac:dyDescent="0.25">
      <c r="A32" s="1"/>
      <c r="B32" s="152" t="s">
        <v>143</v>
      </c>
      <c r="C32" s="153"/>
      <c r="D32" s="154"/>
      <c r="E32" s="74">
        <f>IF(AND(E9&gt;0,(E9+E24)&gt;0),0,IF(AND(E9&gt;0,(E9+E24)&lt;0),(E9+E24),IF(AND(E9&lt;0,E24&lt;0),E24,0)))</f>
        <v>0</v>
      </c>
      <c r="F32" s="14" t="s">
        <v>3</v>
      </c>
      <c r="G32" s="1"/>
    </row>
    <row r="33" spans="1:7" x14ac:dyDescent="0.25">
      <c r="A33" s="1"/>
      <c r="B33" s="152" t="s">
        <v>102</v>
      </c>
      <c r="C33" s="153"/>
      <c r="D33" s="154"/>
      <c r="E33" s="9">
        <v>4</v>
      </c>
      <c r="F33" s="14" t="s">
        <v>20</v>
      </c>
      <c r="G33" s="1"/>
    </row>
    <row r="34" spans="1:7" x14ac:dyDescent="0.25">
      <c r="A34" s="1"/>
      <c r="B34" s="155" t="s">
        <v>144</v>
      </c>
      <c r="C34" s="155"/>
      <c r="D34" s="155"/>
      <c r="E34" s="73">
        <f>E32/E33</f>
        <v>0</v>
      </c>
      <c r="F34" s="17" t="s">
        <v>3</v>
      </c>
      <c r="G34" s="1"/>
    </row>
    <row r="35" spans="1:7" x14ac:dyDescent="0.25">
      <c r="A35" s="1"/>
      <c r="B35" s="156"/>
      <c r="C35" s="157"/>
      <c r="D35" s="157"/>
      <c r="E35" s="157"/>
      <c r="F35" s="158"/>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B40" s="49"/>
      <c r="C40" s="49"/>
      <c r="D40" s="49"/>
      <c r="E40" s="49"/>
      <c r="F40" s="49"/>
    </row>
    <row r="41" spans="1:7" x14ac:dyDescent="0.25">
      <c r="A41" s="49"/>
      <c r="B41" s="49"/>
      <c r="C41" s="49"/>
      <c r="D41" s="49"/>
      <c r="E41" s="49"/>
      <c r="F41" s="49"/>
      <c r="G41" s="49"/>
    </row>
    <row r="42" spans="1:7" x14ac:dyDescent="0.25">
      <c r="A42" s="49"/>
      <c r="B42" s="49"/>
      <c r="C42" s="49"/>
      <c r="D42" s="49"/>
      <c r="E42" s="49"/>
      <c r="F42" s="49"/>
      <c r="G42" s="49"/>
    </row>
  </sheetData>
  <sheetProtection algorithmName="SHA-512" hashValue="mb6EQGgNRVALh+rL0UTdWAuPe8w0Z43El9H+NWGb9SgD7ipRpr28mVSqBjKPODoCl9DIU9FWioszMTxBAn3OJg==" saltValue="ki78OkEZUa8BxZrncYOWBA==" spinCount="100000" sheet="1" objects="1" scenarios="1"/>
  <mergeCells count="17">
    <mergeCell ref="B15:D15"/>
    <mergeCell ref="B16:D16"/>
    <mergeCell ref="B32:D32"/>
    <mergeCell ref="B29:F29"/>
    <mergeCell ref="B18:F18"/>
    <mergeCell ref="B27:F27"/>
    <mergeCell ref="B3:F4"/>
    <mergeCell ref="B8:F8"/>
    <mergeCell ref="B9:D9"/>
    <mergeCell ref="B10:D10"/>
    <mergeCell ref="B14:F14"/>
    <mergeCell ref="B12:F12"/>
    <mergeCell ref="B28:D28"/>
    <mergeCell ref="B31:F31"/>
    <mergeCell ref="B33:D33"/>
    <mergeCell ref="B34:D34"/>
    <mergeCell ref="B35:F35"/>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59" t="s">
        <v>272</v>
      </c>
      <c r="C10" s="160"/>
      <c r="D10" s="160"/>
      <c r="E10" s="160"/>
      <c r="F10" s="161"/>
      <c r="G10" s="9">
        <v>-3448197</v>
      </c>
      <c r="H10" s="9" t="s">
        <v>3</v>
      </c>
      <c r="I10" s="1"/>
    </row>
    <row r="11" spans="1:9" x14ac:dyDescent="0.25">
      <c r="A11" s="1"/>
      <c r="B11" s="159" t="s">
        <v>273</v>
      </c>
      <c r="C11" s="160"/>
      <c r="D11" s="160"/>
      <c r="E11" s="160"/>
      <c r="F11" s="161"/>
      <c r="G11" s="9">
        <v>-3448196.6666666698</v>
      </c>
      <c r="H11" s="9" t="s">
        <v>3</v>
      </c>
      <c r="I11" s="1"/>
    </row>
    <row r="12" spans="1:9" x14ac:dyDescent="0.25">
      <c r="A12" s="1"/>
      <c r="B12" s="159" t="s">
        <v>274</v>
      </c>
      <c r="C12" s="160"/>
      <c r="D12" s="160"/>
      <c r="E12" s="160"/>
      <c r="F12" s="161"/>
      <c r="G12" s="9">
        <v>0</v>
      </c>
      <c r="H12" s="9" t="s">
        <v>3</v>
      </c>
      <c r="I12" s="1"/>
    </row>
    <row r="13" spans="1:9" x14ac:dyDescent="0.25">
      <c r="A13" s="1"/>
      <c r="B13" s="159" t="s">
        <v>275</v>
      </c>
      <c r="C13" s="160"/>
      <c r="D13" s="160"/>
      <c r="E13" s="160"/>
      <c r="F13" s="161"/>
      <c r="G13" s="9">
        <v>0</v>
      </c>
      <c r="H13" s="9" t="s">
        <v>3</v>
      </c>
      <c r="I13" s="1"/>
    </row>
    <row r="14" spans="1:9" x14ac:dyDescent="0.25">
      <c r="A14" s="1"/>
      <c r="B14" s="159" t="s">
        <v>276</v>
      </c>
      <c r="C14" s="160"/>
      <c r="D14" s="160"/>
      <c r="E14" s="160"/>
      <c r="F14" s="161"/>
      <c r="G14" s="9">
        <v>0</v>
      </c>
      <c r="H14" s="9" t="s">
        <v>3</v>
      </c>
      <c r="I14" s="1"/>
    </row>
    <row r="15" spans="1:9" x14ac:dyDescent="0.25">
      <c r="A15" s="1"/>
      <c r="B15" s="159" t="s">
        <v>277</v>
      </c>
      <c r="C15" s="160"/>
      <c r="D15" s="160"/>
      <c r="E15" s="160"/>
      <c r="F15" s="161"/>
      <c r="G15" s="9">
        <v>0</v>
      </c>
      <c r="H15" s="9" t="s">
        <v>3</v>
      </c>
      <c r="I15" s="1"/>
    </row>
    <row r="16" spans="1:9" x14ac:dyDescent="0.25">
      <c r="A16" s="1"/>
      <c r="B16" s="159" t="s">
        <v>278</v>
      </c>
      <c r="C16" s="160"/>
      <c r="D16" s="160"/>
      <c r="E16" s="160"/>
      <c r="F16" s="161"/>
      <c r="G16" s="9">
        <v>0</v>
      </c>
      <c r="H16" s="9" t="s">
        <v>3</v>
      </c>
      <c r="I16" s="1"/>
    </row>
    <row r="17" spans="1:9" x14ac:dyDescent="0.25">
      <c r="A17" s="1"/>
      <c r="B17" s="159" t="s">
        <v>279</v>
      </c>
      <c r="C17" s="160"/>
      <c r="D17" s="160"/>
      <c r="E17" s="160"/>
      <c r="F17" s="161"/>
      <c r="G17" s="9">
        <v>0</v>
      </c>
      <c r="H17" s="9" t="s">
        <v>3</v>
      </c>
      <c r="I17" s="1"/>
    </row>
    <row r="18" spans="1:9" x14ac:dyDescent="0.25">
      <c r="A18" s="1"/>
      <c r="B18" s="131" t="s">
        <v>252</v>
      </c>
      <c r="C18" s="132"/>
      <c r="D18" s="132"/>
      <c r="E18" s="132"/>
      <c r="F18" s="133"/>
      <c r="G18" s="12">
        <f>SUM(G10:G17)</f>
        <v>-6896393.6666666698</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7y2bI/B2HHvThAuOdvy4admQOJBcrx6o8YfS6VpWo1/eJmzsYX4KXW8lc/lgl+tbP32MmVELqp0FGownRHtS9g==" saltValue="SFFHylY5KFGLjGm4SKx6lw==" spinCount="100000" sheet="1" objects="1" scenarios="1"/>
  <mergeCells count="12">
    <mergeCell ref="B11:F11"/>
    <mergeCell ref="B10:F10"/>
    <mergeCell ref="B9:H9"/>
    <mergeCell ref="B3:H4"/>
    <mergeCell ref="B8:H8"/>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topLeftCell="A5"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254</v>
      </c>
      <c r="C3" s="124"/>
      <c r="D3" s="124"/>
      <c r="E3" s="124"/>
      <c r="F3" s="124"/>
      <c r="G3" s="1"/>
    </row>
    <row r="4" spans="1:7" ht="1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21" t="s">
        <v>100</v>
      </c>
      <c r="C10" s="122"/>
      <c r="D10" s="123"/>
      <c r="E10" s="7">
        <v>0</v>
      </c>
      <c r="F10" s="8" t="s">
        <v>3</v>
      </c>
      <c r="G10" s="1"/>
    </row>
    <row r="11" spans="1:7" x14ac:dyDescent="0.25">
      <c r="A11" s="1"/>
      <c r="B11" s="136" t="s">
        <v>209</v>
      </c>
      <c r="C11" s="137"/>
      <c r="D11" s="138"/>
      <c r="E11" s="7">
        <v>0</v>
      </c>
      <c r="F11" s="8" t="s">
        <v>3</v>
      </c>
      <c r="G11" s="1"/>
    </row>
    <row r="12" spans="1:7" x14ac:dyDescent="0.25">
      <c r="A12" s="1"/>
      <c r="B12" s="134" t="s">
        <v>101</v>
      </c>
      <c r="C12" s="135"/>
      <c r="D12" s="151"/>
      <c r="E12" s="10">
        <f>E11-E10</f>
        <v>0</v>
      </c>
      <c r="F12" s="11" t="s">
        <v>3</v>
      </c>
      <c r="G12" s="1"/>
    </row>
    <row r="13" spans="1:7" x14ac:dyDescent="0.25">
      <c r="A13" s="1"/>
      <c r="B13" s="131" t="s">
        <v>94</v>
      </c>
      <c r="C13" s="132"/>
      <c r="D13" s="132"/>
      <c r="E13" s="132"/>
      <c r="F13" s="133"/>
      <c r="G13" s="1"/>
    </row>
    <row r="14" spans="1:7" x14ac:dyDescent="0.25">
      <c r="A14" s="1"/>
      <c r="B14" s="136" t="s">
        <v>210</v>
      </c>
      <c r="C14" s="137"/>
      <c r="D14" s="138"/>
      <c r="E14" s="9"/>
      <c r="F14" s="8" t="s">
        <v>3</v>
      </c>
      <c r="G14" s="1"/>
    </row>
    <row r="15" spans="1:7" x14ac:dyDescent="0.25">
      <c r="A15" s="1"/>
      <c r="B15" s="121" t="s">
        <v>211</v>
      </c>
      <c r="C15" s="122"/>
      <c r="D15" s="123"/>
      <c r="E15" s="9"/>
      <c r="F15" s="8" t="s">
        <v>3</v>
      </c>
      <c r="G15" s="1"/>
    </row>
    <row r="16" spans="1:7" x14ac:dyDescent="0.25">
      <c r="A16" s="1"/>
      <c r="B16" s="134" t="s">
        <v>101</v>
      </c>
      <c r="C16" s="135"/>
      <c r="D16" s="151"/>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z1KGpchcezpJbVFGzROvORoZWDJwlH3DATxl5oBV6n/tM3nwXk0fsY97u0tunum7LDL5IOFvjcVkHIbWEz3HCw==" saltValue="MZoAbl+GR9bIzwrLHQjal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255</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18" t="s">
        <v>0</v>
      </c>
      <c r="C9" s="18" t="s">
        <v>1</v>
      </c>
      <c r="D9" s="162" t="s">
        <v>245</v>
      </c>
      <c r="E9" s="163"/>
      <c r="F9" s="162" t="s">
        <v>2</v>
      </c>
      <c r="G9" s="163"/>
      <c r="H9" s="162" t="s">
        <v>244</v>
      </c>
      <c r="I9" s="163"/>
      <c r="J9" s="162" t="s">
        <v>30</v>
      </c>
      <c r="K9" s="163"/>
      <c r="L9" s="1"/>
    </row>
    <row r="10" spans="1:12" x14ac:dyDescent="0.25">
      <c r="A10" s="1"/>
      <c r="B10" s="97" t="s">
        <v>280</v>
      </c>
      <c r="C10" s="41">
        <v>0</v>
      </c>
      <c r="D10" s="9">
        <v>0</v>
      </c>
      <c r="E10" s="14" t="s">
        <v>3</v>
      </c>
      <c r="F10" s="9">
        <f>IFERROR(D10/C10,0)</f>
        <v>0</v>
      </c>
      <c r="G10" s="14" t="s">
        <v>3</v>
      </c>
      <c r="H10" s="44">
        <v>0</v>
      </c>
      <c r="I10" s="14" t="s">
        <v>3</v>
      </c>
      <c r="J10" s="44">
        <v>0</v>
      </c>
      <c r="K10" s="14" t="s">
        <v>3</v>
      </c>
      <c r="L10" s="1"/>
    </row>
    <row r="11" spans="1:12" x14ac:dyDescent="0.25">
      <c r="A11" s="1"/>
      <c r="B11" s="86" t="s">
        <v>220</v>
      </c>
      <c r="C11" s="87"/>
      <c r="D11" s="88"/>
      <c r="E11" s="88"/>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8S75rADAmngTndFnRuMdXvlIwSLa9A0Z+DcjFPI10FVcnqCwKdu92juzAMppqtjt57IutWDqQS+aHUYRPwQ4JA==" saltValue="1bjVzsyAMoL++vCrCatm1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256</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4" t="s">
        <v>17</v>
      </c>
      <c r="C9" s="84" t="s">
        <v>11</v>
      </c>
      <c r="D9" s="85"/>
      <c r="E9" s="84"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268</v>
      </c>
      <c r="C11" s="21">
        <v>31707</v>
      </c>
      <c r="D11" s="14" t="s">
        <v>3</v>
      </c>
      <c r="E11" s="9">
        <v>294821</v>
      </c>
      <c r="F11" s="14" t="s">
        <v>3</v>
      </c>
      <c r="G11" s="1"/>
    </row>
    <row r="12" spans="1:7" x14ac:dyDescent="0.25">
      <c r="A12" s="1"/>
      <c r="B12" s="23" t="s">
        <v>269</v>
      </c>
      <c r="C12" s="21">
        <v>112067</v>
      </c>
      <c r="D12" s="14" t="s">
        <v>3</v>
      </c>
      <c r="E12" s="9">
        <v>287596</v>
      </c>
      <c r="F12" s="14" t="s">
        <v>3</v>
      </c>
      <c r="G12" s="1"/>
    </row>
    <row r="13" spans="1:7" x14ac:dyDescent="0.25">
      <c r="A13" s="1"/>
      <c r="B13" s="32" t="s">
        <v>156</v>
      </c>
      <c r="C13" s="12">
        <f>SUM(C10:C12)</f>
        <v>143774</v>
      </c>
      <c r="D13" s="13" t="s">
        <v>3</v>
      </c>
      <c r="E13" s="12">
        <f>SUM(E10:E12)</f>
        <v>582417</v>
      </c>
      <c r="F13" s="13" t="s">
        <v>3</v>
      </c>
      <c r="G13" s="1"/>
    </row>
    <row r="14" spans="1:7" x14ac:dyDescent="0.25">
      <c r="A14" s="1"/>
      <c r="B14" s="32" t="s">
        <v>213</v>
      </c>
      <c r="C14" s="12">
        <f>C13*(1+'Fane 15. Nøgletal'!C15)</f>
        <v>148892.35440000001</v>
      </c>
      <c r="D14" s="13" t="s">
        <v>3</v>
      </c>
      <c r="E14" s="12">
        <f>E13*(1+'Fane 15. Nøgletal'!C15)</f>
        <v>603151.04520000005</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uQcptPQD6VcP7NBB50BjhcJNEaFeVBZPKzVbB+CCYFovLWHwj7QgSTjSkzry96FuHpz5J2fgl5CNWEwGFajAOA==" saltValue="pQXL4t9S9WfBtU7BzLTWu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topLeftCell="A5"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4" t="s">
        <v>17</v>
      </c>
      <c r="C9" s="84" t="s">
        <v>11</v>
      </c>
      <c r="D9" s="85"/>
      <c r="E9" s="84" t="s">
        <v>31</v>
      </c>
      <c r="F9" s="31"/>
      <c r="G9" s="1"/>
    </row>
    <row r="10" spans="1:7" x14ac:dyDescent="0.25">
      <c r="A10" s="1"/>
      <c r="B10" s="23" t="s">
        <v>285</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4"/>
      <c r="C14" s="164"/>
      <c r="D14" s="164"/>
      <c r="E14" s="164"/>
      <c r="F14" s="164"/>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4"/>
      <c r="C28" s="164"/>
      <c r="D28" s="164"/>
      <c r="E28" s="164"/>
      <c r="F28" s="164"/>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FOBJ9pMmvLHoS6cnfztdswCHnnv/Tpa54Uk5NSWRT8svaC+yIyS38Tw9L1LxxXS75hlZ5PNRPX2vP035ydqkxw==" saltValue="R2KiWhSMYuJmT8puGc+rYw=="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topLeftCell="A5"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258</v>
      </c>
      <c r="C3" s="124"/>
      <c r="D3" s="124"/>
      <c r="E3" s="124"/>
      <c r="F3" s="124"/>
      <c r="G3" s="1"/>
    </row>
    <row r="4" spans="1:7" ht="15" customHeight="1" x14ac:dyDescent="0.25">
      <c r="A4" s="1"/>
      <c r="B4" s="124"/>
      <c r="C4" s="124"/>
      <c r="D4" s="124"/>
      <c r="E4" s="124"/>
      <c r="F4" s="124"/>
      <c r="G4" s="1"/>
    </row>
    <row r="5" spans="1:7" x14ac:dyDescent="0.25">
      <c r="A5" s="1"/>
      <c r="B5" s="124"/>
      <c r="C5" s="124"/>
      <c r="D5" s="124"/>
      <c r="E5" s="124"/>
      <c r="F5" s="12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59" t="s">
        <v>224</v>
      </c>
      <c r="C10" s="160"/>
      <c r="D10" s="161"/>
      <c r="E10" s="9">
        <v>0</v>
      </c>
      <c r="F10" s="14" t="s">
        <v>3</v>
      </c>
      <c r="G10" s="1"/>
    </row>
    <row r="11" spans="1:7" x14ac:dyDescent="0.25">
      <c r="A11" s="1"/>
      <c r="B11" s="125" t="s">
        <v>10</v>
      </c>
      <c r="C11" s="126"/>
      <c r="D11" s="127"/>
      <c r="E11" s="9">
        <f>-E10*'Fane 5. Individuelt eff. krav'!G9</f>
        <v>0</v>
      </c>
      <c r="F11" s="14" t="s">
        <v>3</v>
      </c>
      <c r="G11" s="1"/>
    </row>
    <row r="12" spans="1:7" x14ac:dyDescent="0.25">
      <c r="A12" s="1"/>
      <c r="B12" s="125" t="s">
        <v>24</v>
      </c>
      <c r="C12" s="126"/>
      <c r="D12" s="127"/>
      <c r="E12" s="9">
        <f>-E10*'Fane 15. Nøgletal'!C31</f>
        <v>0</v>
      </c>
      <c r="F12" s="14" t="s">
        <v>3</v>
      </c>
      <c r="G12" s="1"/>
    </row>
    <row r="13" spans="1:7" x14ac:dyDescent="0.25">
      <c r="A13" s="1"/>
      <c r="B13" s="131" t="s">
        <v>92</v>
      </c>
      <c r="C13" s="132"/>
      <c r="D13" s="133"/>
      <c r="E13" s="12">
        <f>SUM(E10:E12)*(1+'Fane 15. Nøgletal'!C15)^2</f>
        <v>0</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59" t="s">
        <v>224</v>
      </c>
      <c r="C16" s="160"/>
      <c r="D16" s="161"/>
      <c r="E16" s="9">
        <v>0</v>
      </c>
      <c r="F16" s="14" t="s">
        <v>3</v>
      </c>
      <c r="G16" s="1"/>
    </row>
    <row r="17" spans="1:7" x14ac:dyDescent="0.25">
      <c r="A17" s="1"/>
      <c r="B17" s="125" t="s">
        <v>10</v>
      </c>
      <c r="C17" s="126"/>
      <c r="D17" s="127"/>
      <c r="E17" s="9">
        <f>-E16*'Fane 5. Individuelt eff. krav'!G9</f>
        <v>0</v>
      </c>
      <c r="F17" s="14" t="s">
        <v>3</v>
      </c>
      <c r="G17" s="1"/>
    </row>
    <row r="18" spans="1:7" x14ac:dyDescent="0.25">
      <c r="A18" s="1"/>
      <c r="B18" s="125" t="s">
        <v>24</v>
      </c>
      <c r="C18" s="126"/>
      <c r="D18" s="127"/>
      <c r="E18" s="9">
        <f>-E16*'Fane 15. Nøgletal'!C31</f>
        <v>0</v>
      </c>
      <c r="F18" s="14" t="s">
        <v>3</v>
      </c>
      <c r="G18" s="1"/>
    </row>
    <row r="19" spans="1:7" x14ac:dyDescent="0.25">
      <c r="A19" s="1"/>
      <c r="B19" s="131" t="s">
        <v>131</v>
      </c>
      <c r="C19" s="132"/>
      <c r="D19" s="133"/>
      <c r="E19" s="12">
        <f>SUM(E16:E18)*(1+'Fane 15. Nøgletal'!C15)^3</f>
        <v>0</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59" t="s">
        <v>224</v>
      </c>
      <c r="C22" s="160"/>
      <c r="D22" s="161"/>
      <c r="E22" s="9">
        <v>0</v>
      </c>
      <c r="F22" s="14" t="s">
        <v>3</v>
      </c>
      <c r="G22" s="1"/>
    </row>
    <row r="23" spans="1:7" x14ac:dyDescent="0.25">
      <c r="A23" s="1"/>
      <c r="B23" s="125" t="s">
        <v>10</v>
      </c>
      <c r="C23" s="126"/>
      <c r="D23" s="127"/>
      <c r="E23" s="9">
        <f>-E22*'Fane 5. Individuelt eff. krav'!G9</f>
        <v>0</v>
      </c>
      <c r="F23" s="14" t="s">
        <v>3</v>
      </c>
      <c r="G23" s="1"/>
    </row>
    <row r="24" spans="1:7" x14ac:dyDescent="0.25">
      <c r="A24" s="1"/>
      <c r="B24" s="125" t="s">
        <v>24</v>
      </c>
      <c r="C24" s="126"/>
      <c r="D24" s="127"/>
      <c r="E24" s="9">
        <f>-E22*'Fane 15. Nøgletal'!C31</f>
        <v>0</v>
      </c>
      <c r="F24" s="14" t="s">
        <v>3</v>
      </c>
      <c r="G24" s="1"/>
    </row>
    <row r="25" spans="1:7" x14ac:dyDescent="0.25">
      <c r="A25" s="1"/>
      <c r="B25" s="131" t="s">
        <v>158</v>
      </c>
      <c r="C25" s="132"/>
      <c r="D25" s="133"/>
      <c r="E25" s="12">
        <f>SUM(E22:E24)*(1+'Fane 15. Nøgletal'!C15)^4</f>
        <v>0</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59" t="s">
        <v>224</v>
      </c>
      <c r="C28" s="160"/>
      <c r="D28" s="161"/>
      <c r="E28" s="9">
        <v>0</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0</v>
      </c>
      <c r="F30" s="14" t="s">
        <v>3</v>
      </c>
      <c r="G30" s="1"/>
    </row>
    <row r="31" spans="1:7" x14ac:dyDescent="0.25">
      <c r="A31" s="1"/>
      <c r="B31" s="131" t="s">
        <v>215</v>
      </c>
      <c r="C31" s="132"/>
      <c r="D31" s="13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TIO4x94BCHlAbthP8/mVV5yTK7gwjH0ang9c9RoRVJ0FZ3vQW/2ZIp6xZWdM0ZIKFP5/1c8avuCpIqTS6mkkcg==" saltValue="ZaWcnOpErXuuRZKYTKHwMQ=="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42578125" style="2" customWidth="1"/>
    <col min="2" max="2" width="39.85546875" style="2" customWidth="1"/>
    <col min="3" max="3" width="15.5703125" style="2" customWidth="1"/>
    <col min="4" max="4" width="3.28515625" style="2" customWidth="1"/>
    <col min="5" max="5" width="17.140625" style="2" customWidth="1"/>
    <col min="6" max="6" width="3.28515625" style="2" customWidth="1"/>
    <col min="7" max="7" width="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259</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271</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ZtONJC0gfjNYfbgjONkTs2pq31FqbirfoVEPaGgeNrXegXWYzO2AQgD1KTo0ArQowVg/CHTHVunC/97ZDelJTA==" saltValue="KdnNaBhsJ5GcUjRJRdYV8g=="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260</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4"/>
      <c r="C27" s="164"/>
      <c r="D27" s="164"/>
      <c r="E27" s="164"/>
      <c r="F27" s="164"/>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AXfziqVAZBS2Eo3pjtb5Ulwn+Y9oeBUeKE1kAChlDkGXpt2bwJSK7/Px4r5jv2xQwQuNdjcF5E26uqGe2E+aWQ==" saltValue="MrCB7RuO74iIGIVxBHUWb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topLeftCell="A9"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72669657.685585365</v>
      </c>
      <c r="D9" s="8" t="s">
        <v>3</v>
      </c>
      <c r="E9" s="1"/>
    </row>
    <row r="10" spans="1:5" ht="17.25" customHeight="1" x14ac:dyDescent="0.25">
      <c r="A10" s="1"/>
      <c r="B10" s="83" t="s">
        <v>39</v>
      </c>
      <c r="C10" s="7">
        <f>'Fane 11.1. Varige tillæg'!C14</f>
        <v>148892.35440000001</v>
      </c>
      <c r="D10" s="8" t="s">
        <v>3</v>
      </c>
      <c r="E10" s="1"/>
    </row>
    <row r="11" spans="1:5" ht="17.25" customHeight="1" x14ac:dyDescent="0.25">
      <c r="A11" s="1"/>
      <c r="B11" s="83" t="s">
        <v>40</v>
      </c>
      <c r="C11" s="9">
        <f>'Fane 11.1. Varige tillæg'!E14</f>
        <v>603151.04520000005</v>
      </c>
      <c r="D11" s="8" t="s">
        <v>3</v>
      </c>
      <c r="E11" s="1"/>
    </row>
    <row r="12" spans="1:5" ht="17.25" customHeight="1" x14ac:dyDescent="0.25">
      <c r="A12" s="1"/>
      <c r="B12" s="83" t="s">
        <v>27</v>
      </c>
      <c r="C12" s="9">
        <f>-'Fane 14. Bortfald'!C13</f>
        <v>0</v>
      </c>
      <c r="D12" s="8" t="s">
        <v>3</v>
      </c>
      <c r="E12" s="1"/>
    </row>
    <row r="13" spans="1:5" ht="17.25" customHeight="1" x14ac:dyDescent="0.25">
      <c r="A13" s="1"/>
      <c r="B13" s="83" t="s">
        <v>26</v>
      </c>
      <c r="C13" s="9">
        <f>-'Fane 14. Bortfald'!E13</f>
        <v>0</v>
      </c>
      <c r="D13" s="8" t="s">
        <v>3</v>
      </c>
      <c r="E13" s="1"/>
    </row>
    <row r="14" spans="1:5" ht="17.25" customHeight="1" x14ac:dyDescent="0.25">
      <c r="A14" s="1"/>
      <c r="B14" s="83" t="s">
        <v>124</v>
      </c>
      <c r="C14" s="9">
        <f>'Fane 13. Tilknyttet virksomhed'!C12</f>
        <v>0</v>
      </c>
      <c r="D14" s="8" t="s">
        <v>3</v>
      </c>
      <c r="E14" s="1"/>
    </row>
    <row r="15" spans="1:5" ht="17.25" customHeight="1" x14ac:dyDescent="0.25">
      <c r="A15" s="1"/>
      <c r="B15" s="83" t="s">
        <v>125</v>
      </c>
      <c r="C15" s="9">
        <f>'Fane 13. Tilknyttet virksomhed'!E12</f>
        <v>0</v>
      </c>
      <c r="D15" s="8" t="s">
        <v>3</v>
      </c>
      <c r="E15" s="1"/>
    </row>
    <row r="16" spans="1:5" ht="17.25" customHeight="1" x14ac:dyDescent="0.25">
      <c r="A16" s="1"/>
      <c r="B16" s="83" t="s">
        <v>19</v>
      </c>
      <c r="C16" s="44">
        <f>SUM(C9)*'Fane 15. Nøgletal'!C14+SUM(C10:C15)*'Fane 15. Nøgletal'!C15</f>
        <v>266582.61538819171</v>
      </c>
      <c r="D16" s="8" t="s">
        <v>3</v>
      </c>
      <c r="E16" s="1"/>
    </row>
    <row r="17" spans="1:5" ht="17.25" customHeight="1" x14ac:dyDescent="0.25">
      <c r="A17" s="1"/>
      <c r="B17" s="83" t="s">
        <v>10</v>
      </c>
      <c r="C17" s="44">
        <f>-SUM(C9,C10:C16)*'Fane 5. Individuelt eff. krav'!G9</f>
        <v>-119697.21574089298</v>
      </c>
      <c r="D17" s="8" t="s">
        <v>3</v>
      </c>
      <c r="E17" s="1"/>
    </row>
    <row r="18" spans="1:5" ht="17.25" customHeight="1" x14ac:dyDescent="0.25">
      <c r="A18" s="1"/>
      <c r="B18" s="83" t="s">
        <v>24</v>
      </c>
      <c r="C18" s="44">
        <f>-'Fane 4.1. Gen. krav - drift'!G45</f>
        <v>-293855.44656178821</v>
      </c>
      <c r="D18" s="8" t="s">
        <v>3</v>
      </c>
      <c r="E18" s="1"/>
    </row>
    <row r="19" spans="1:5" ht="17.25" customHeight="1" x14ac:dyDescent="0.25">
      <c r="A19" s="1"/>
      <c r="B19" s="83" t="s">
        <v>25</v>
      </c>
      <c r="C19" s="44">
        <f>-'Fane 4.2. Gen. krav - anlæg'!G43</f>
        <v>-873580.80602176406</v>
      </c>
      <c r="D19" s="8" t="s">
        <v>3</v>
      </c>
      <c r="E19" s="48"/>
    </row>
    <row r="20" spans="1:5" ht="17.25" customHeight="1" x14ac:dyDescent="0.25">
      <c r="A20" s="1"/>
      <c r="B20" s="89" t="s">
        <v>21</v>
      </c>
      <c r="C20" s="10">
        <f>SUM(C9:C19)</f>
        <v>72401150.232249111</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omk.'!C14+'Fane 6. Ikke-påvirkelige omk.'!C18+'Fane 6. Ikke-påvirkelige omk.'!C26</f>
        <v>464181.66842197336</v>
      </c>
      <c r="D22" s="11" t="s">
        <v>3</v>
      </c>
      <c r="E22" s="1"/>
    </row>
    <row r="23" spans="1:5" ht="15" customHeight="1" x14ac:dyDescent="0.25">
      <c r="A23" s="1"/>
      <c r="B23" s="32" t="s">
        <v>86</v>
      </c>
      <c r="C23" s="27"/>
      <c r="D23" s="19"/>
      <c r="E23" s="1"/>
    </row>
    <row r="24" spans="1:5" ht="15" customHeight="1" x14ac:dyDescent="0.25">
      <c r="A24" s="1"/>
      <c r="B24" s="89"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3" t="s">
        <v>231</v>
      </c>
      <c r="C26" s="75">
        <f>'Fane 11.2. Engangstillæg'!C12</f>
        <v>0</v>
      </c>
      <c r="D26" s="8" t="s">
        <v>3</v>
      </c>
      <c r="E26" s="1"/>
    </row>
    <row r="27" spans="1:5" ht="15" customHeight="1" x14ac:dyDescent="0.25">
      <c r="A27" s="1"/>
      <c r="B27" s="83" t="s">
        <v>82</v>
      </c>
      <c r="C27" s="75">
        <f>'Fane 11.2. Engangstillæg'!E12</f>
        <v>0</v>
      </c>
      <c r="D27" s="8" t="s">
        <v>3</v>
      </c>
      <c r="E27" s="1"/>
    </row>
    <row r="28" spans="1:5" ht="15" customHeight="1" x14ac:dyDescent="0.25">
      <c r="A28" s="1"/>
      <c r="B28" s="83" t="s">
        <v>238</v>
      </c>
      <c r="C28" s="75">
        <f>-C26*('Fane 15. Nøgletal'!C31+'Fane 5. Individuelt eff. krav'!G9)</f>
        <v>0</v>
      </c>
      <c r="D28" s="8" t="s">
        <v>3</v>
      </c>
      <c r="E28" s="1"/>
    </row>
    <row r="29" spans="1:5" ht="15" customHeight="1" x14ac:dyDescent="0.25">
      <c r="A29" s="1"/>
      <c r="B29" s="83" t="s">
        <v>239</v>
      </c>
      <c r="C29" s="75">
        <f>-C27*('Fane 15. Nøgletal'!C26+'Fane 5. Individuelt eff. krav'!G9)</f>
        <v>0</v>
      </c>
      <c r="D29" s="8" t="s">
        <v>3</v>
      </c>
      <c r="E29" s="1"/>
    </row>
    <row r="30" spans="1:5" ht="15" customHeight="1" x14ac:dyDescent="0.25">
      <c r="A30" s="1"/>
      <c r="B30" s="96"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6" t="s">
        <v>176</v>
      </c>
      <c r="C36" s="10">
        <f>'Fane 8. Skattesagen'!G12</f>
        <v>0</v>
      </c>
      <c r="D36" s="11" t="s">
        <v>3</v>
      </c>
      <c r="E36" s="1"/>
    </row>
    <row r="37" spans="1:5" x14ac:dyDescent="0.25">
      <c r="A37" s="1"/>
      <c r="B37" s="32" t="s">
        <v>90</v>
      </c>
      <c r="C37" s="57">
        <f>SUM(C34,C32,C24,C30,C22,C20,C36)</f>
        <v>72865331.90067108</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dCFGs5YDkkOQuefpiQwHefUTgqMt7VjU5Xg4kNOuMtFEA1BD2n4ZLUejorzBA7bfH+UEXEH4khfG5VbwDvg7zw==" saltValue="vNhhj1J2XZi6Chn1GCjY3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tabSelected="1" view="pageLayout" topLeftCell="A5"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4" t="s">
        <v>261</v>
      </c>
      <c r="C3" s="124"/>
      <c r="D3" s="1"/>
    </row>
    <row r="4" spans="1:4" ht="25.5" customHeight="1" x14ac:dyDescent="0.25">
      <c r="A4" s="1"/>
      <c r="B4" s="124"/>
      <c r="C4" s="12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OoAWMvTRmc2J7nXLYX5WJtgQgGucfllcq74HymSwYKSL7kU+b/1PIlAw3PsU3CVWPca+iTm4tFA5s71z4YR4Nw==" saltValue="+OLE+z8jWqN6UTM/iw7GB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topLeftCell="A25"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72401150.232249111</v>
      </c>
      <c r="D9" s="8" t="s">
        <v>3</v>
      </c>
      <c r="E9" s="1"/>
    </row>
    <row r="10" spans="1:5" ht="15" customHeight="1" x14ac:dyDescent="0.25">
      <c r="A10" s="1"/>
      <c r="B10" s="25" t="s">
        <v>19</v>
      </c>
      <c r="C10" s="7">
        <f>SUM(C9:C9)*'Fane 15. Nøgletal'!C15</f>
        <v>2577480.9482680685</v>
      </c>
      <c r="D10" s="8" t="s">
        <v>3</v>
      </c>
      <c r="E10" s="1"/>
    </row>
    <row r="11" spans="1:5" ht="15" customHeight="1" x14ac:dyDescent="0.25">
      <c r="A11" s="1"/>
      <c r="B11" s="25" t="s">
        <v>10</v>
      </c>
      <c r="C11" s="9">
        <f>-SUM(C9:C10)*'Fane 5. Individuelt eff. krav'!G9</f>
        <v>-121793.2205998897</v>
      </c>
      <c r="D11" s="8" t="s">
        <v>3</v>
      </c>
      <c r="E11" s="1"/>
    </row>
    <row r="12" spans="1:5" ht="15" customHeight="1" x14ac:dyDescent="0.25">
      <c r="A12" s="1"/>
      <c r="B12" s="25" t="s">
        <v>24</v>
      </c>
      <c r="C12" s="9">
        <f>-'Fane 4.1. Gen. krav - drift'!G53</f>
        <v>-298230.36645020015</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74558607.593467087</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Nøgletal'!C15)+'Fane 6. Ikke-påvirkelige omk.'!C26+'Fane 6. Ikke-påvirkelige omk.'!C34</f>
        <v>480706.53581779567</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6" t="s">
        <v>176</v>
      </c>
      <c r="C22" s="10">
        <f>'Fane 8. Skattesagen'!G13</f>
        <v>0</v>
      </c>
      <c r="D22" s="11" t="s">
        <v>3</v>
      </c>
      <c r="E22" s="1"/>
    </row>
    <row r="23" spans="1:5" x14ac:dyDescent="0.25">
      <c r="A23" s="1"/>
      <c r="B23" s="32" t="s">
        <v>128</v>
      </c>
      <c r="C23" s="12">
        <f>SUM(C14,C16,C18,C20,C22)</f>
        <v>75039314.129284889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VMnjPUDY9N9Lj6oTYyV/WCCwmwiLDJoWZMITvwU2jU+l9XS4yUFgqToYL3+pEwmXqD3VskKzIhormJayCg7rhw==" saltValue="Etux2iinmTFfMLDeOftlt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topLeftCell="A25"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74558607.593467087</v>
      </c>
      <c r="D9" s="8" t="s">
        <v>3</v>
      </c>
      <c r="E9" s="1"/>
    </row>
    <row r="10" spans="1:5" ht="15" customHeight="1" x14ac:dyDescent="0.25">
      <c r="A10" s="1"/>
      <c r="B10" s="25" t="s">
        <v>19</v>
      </c>
      <c r="C10" s="7">
        <f>SUM(C9:C9)*'Fane 15. Nøgletal'!C15</f>
        <v>2654286.430327428</v>
      </c>
      <c r="D10" s="8" t="s">
        <v>3</v>
      </c>
      <c r="E10" s="1"/>
    </row>
    <row r="11" spans="1:5" ht="15" customHeight="1" x14ac:dyDescent="0.25">
      <c r="A11" s="1"/>
      <c r="B11" s="25" t="s">
        <v>10</v>
      </c>
      <c r="C11" s="9">
        <f>-SUM(C9:C10)*'Fane 5. Individuelt eff. krav'!G9</f>
        <v>-125422.49554216313</v>
      </c>
      <c r="D11" s="8" t="s">
        <v>3</v>
      </c>
      <c r="E11" s="1"/>
    </row>
    <row r="12" spans="1:5" ht="15" customHeight="1" x14ac:dyDescent="0.25">
      <c r="A12" s="1"/>
      <c r="B12" s="25" t="s">
        <v>24</v>
      </c>
      <c r="C12" s="9">
        <f>-'Fane 4.1. Gen. krav - drift'!G58</f>
        <v>-302670.4201459107</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76784801.108106434</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Nøgletal'!C15)^2+'Fane 6. Ikke-påvirkelige omk.'!C20+'Fane 6. Ikke-påvirkelige omk.'!C28</f>
        <v>497819.68849290919</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6" t="s">
        <v>176</v>
      </c>
      <c r="C22" s="10">
        <f>'Fane 8. Skattesagen'!G14</f>
        <v>0</v>
      </c>
      <c r="D22" s="11" t="s">
        <v>3</v>
      </c>
      <c r="E22" s="1"/>
    </row>
    <row r="23" spans="1:5" x14ac:dyDescent="0.25">
      <c r="A23" s="1"/>
      <c r="B23" s="32" t="s">
        <v>149</v>
      </c>
      <c r="C23" s="12">
        <f>SUM(C14,C16,C18,C20,C22)</f>
        <v>77282620.796599343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0bY2gWZc2Z5I8JPXC82GLCisHegqbrboXqFmAEXXrMia+Iu1falmtGgHvT3pBdS7Mbz4BXNUgTvaNH3271gDg==" saltValue="sMOV7X4Cp2KWGR1d6JxiR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topLeftCell="A29"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76784801.108106434</v>
      </c>
      <c r="D9" s="8" t="s">
        <v>3</v>
      </c>
      <c r="E9" s="1"/>
    </row>
    <row r="10" spans="1:5" ht="15" customHeight="1" x14ac:dyDescent="0.25">
      <c r="A10" s="1"/>
      <c r="B10" s="25" t="s">
        <v>19</v>
      </c>
      <c r="C10" s="7">
        <f>SUM(C9:C9)*'Fane 15. Nøgletal'!C15</f>
        <v>2733538.919448589</v>
      </c>
      <c r="D10" s="8" t="s">
        <v>3</v>
      </c>
      <c r="E10" s="1"/>
    </row>
    <row r="11" spans="1:5" ht="15" customHeight="1" x14ac:dyDescent="0.25">
      <c r="A11" s="1"/>
      <c r="B11" s="25" t="s">
        <v>10</v>
      </c>
      <c r="C11" s="9">
        <f>-SUM(C9:C10)*'Fane 5. Individuelt eff. krav'!G9</f>
        <v>-129167.39844711372</v>
      </c>
      <c r="D11" s="8" t="s">
        <v>3</v>
      </c>
      <c r="E11" s="1"/>
    </row>
    <row r="12" spans="1:5" ht="15" customHeight="1" x14ac:dyDescent="0.25">
      <c r="A12" s="1"/>
      <c r="B12" s="25" t="s">
        <v>24</v>
      </c>
      <c r="C12" s="9">
        <f>-'Fane 4.1. Gen. krav - drift'!G63</f>
        <v>-307176.57736104308</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79081996.05174686</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Nøgletal'!C15)^3+'Fane 6. Ikke-påvirkelige omk.'!C21+'Fane 6. Ikke-påvirkelige omk.'!C29</f>
        <v>515542.06940325681</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6" t="s">
        <v>176</v>
      </c>
      <c r="C22" s="10">
        <f>'Fane 8. Skattesagen'!G15</f>
        <v>0</v>
      </c>
      <c r="D22" s="11" t="s">
        <v>3</v>
      </c>
      <c r="E22" s="1"/>
    </row>
    <row r="23" spans="1:5" x14ac:dyDescent="0.25">
      <c r="A23" s="1"/>
      <c r="B23" s="32" t="s">
        <v>190</v>
      </c>
      <c r="C23" s="12">
        <f>SUM(C14,C16,C18,C20,C22)</f>
        <v>79597538.121150121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mNZpckn0b5YoGiru6UEIj7GjH16FmvpE1qLaZD3b2FDwzkLQp1Vd91nTcBFm/Uh0aFdM8zDVQ7I/WdsVmQ0v0A==" saltValue="5XNKJW+/9jfPjK6UgerAS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topLeftCell="A5"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191</v>
      </c>
      <c r="C3" s="124"/>
      <c r="D3" s="124"/>
      <c r="E3" s="124"/>
      <c r="F3" s="124"/>
      <c r="G3" s="1"/>
    </row>
    <row r="4" spans="1:7" ht="29.2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286</v>
      </c>
      <c r="C8" s="27"/>
      <c r="D8" s="27"/>
      <c r="E8" s="27"/>
      <c r="F8" s="19"/>
      <c r="G8" s="1"/>
    </row>
    <row r="9" spans="1:7" ht="15" customHeight="1" x14ac:dyDescent="0.25">
      <c r="A9" s="1"/>
      <c r="B9" s="121" t="s">
        <v>192</v>
      </c>
      <c r="C9" s="122"/>
      <c r="D9" s="123"/>
      <c r="E9" s="7">
        <v>72903493.383189783</v>
      </c>
      <c r="F9" s="8" t="s">
        <v>3</v>
      </c>
      <c r="G9" s="1"/>
    </row>
    <row r="10" spans="1:7" ht="15" customHeight="1" x14ac:dyDescent="0.25">
      <c r="A10" s="1"/>
      <c r="B10" s="125" t="s">
        <v>39</v>
      </c>
      <c r="C10" s="126"/>
      <c r="D10" s="127"/>
      <c r="E10" s="7">
        <v>822539.45220000006</v>
      </c>
      <c r="F10" s="8" t="s">
        <v>3</v>
      </c>
      <c r="G10" s="1"/>
    </row>
    <row r="11" spans="1:7" ht="15" customHeight="1" x14ac:dyDescent="0.25">
      <c r="A11" s="1"/>
      <c r="B11" s="125" t="s">
        <v>40</v>
      </c>
      <c r="C11" s="126"/>
      <c r="D11" s="127"/>
      <c r="E11" s="9">
        <v>0</v>
      </c>
      <c r="F11" s="8" t="s">
        <v>3</v>
      </c>
      <c r="G11" s="1"/>
    </row>
    <row r="12" spans="1:7" ht="15" customHeight="1" x14ac:dyDescent="0.25">
      <c r="A12" s="1"/>
      <c r="B12" s="125" t="s">
        <v>27</v>
      </c>
      <c r="C12" s="126"/>
      <c r="D12" s="127"/>
      <c r="E12" s="9">
        <v>0</v>
      </c>
      <c r="F12" s="8" t="s">
        <v>3</v>
      </c>
      <c r="G12" s="1"/>
    </row>
    <row r="13" spans="1:7" ht="15" customHeight="1" x14ac:dyDescent="0.25">
      <c r="A13" s="1"/>
      <c r="B13" s="121" t="s">
        <v>26</v>
      </c>
      <c r="C13" s="122"/>
      <c r="D13" s="123"/>
      <c r="E13" s="9">
        <v>0</v>
      </c>
      <c r="F13" s="8" t="s">
        <v>3</v>
      </c>
      <c r="G13" s="1"/>
    </row>
    <row r="14" spans="1:7" ht="15" customHeight="1" x14ac:dyDescent="0.25">
      <c r="A14" s="1"/>
      <c r="B14" s="121" t="s">
        <v>29</v>
      </c>
      <c r="C14" s="122"/>
      <c r="D14" s="123"/>
      <c r="E14" s="9">
        <v>0</v>
      </c>
      <c r="F14" s="8" t="s">
        <v>3</v>
      </c>
      <c r="G14" s="1"/>
    </row>
    <row r="15" spans="1:7" ht="15" customHeight="1" x14ac:dyDescent="0.25">
      <c r="A15" s="1"/>
      <c r="B15" s="121" t="s">
        <v>28</v>
      </c>
      <c r="C15" s="122"/>
      <c r="D15" s="123"/>
      <c r="E15" s="9">
        <v>0</v>
      </c>
      <c r="F15" s="8" t="s">
        <v>3</v>
      </c>
      <c r="G15" s="1"/>
    </row>
    <row r="16" spans="1:7" ht="15" customHeight="1" x14ac:dyDescent="0.25">
      <c r="A16" s="1"/>
      <c r="B16" s="121" t="s">
        <v>19</v>
      </c>
      <c r="C16" s="122"/>
      <c r="D16" s="123"/>
      <c r="E16" s="9">
        <f>SUM(E9:E15)*'Fane 15. Nøgletal'!C14</f>
        <v>243295.90835678627</v>
      </c>
      <c r="F16" s="8" t="s">
        <v>3</v>
      </c>
      <c r="G16" s="1"/>
    </row>
    <row r="17" spans="1:7" ht="15" customHeight="1" x14ac:dyDescent="0.25">
      <c r="A17" s="1"/>
      <c r="B17" s="121" t="s">
        <v>10</v>
      </c>
      <c r="C17" s="122"/>
      <c r="D17" s="123"/>
      <c r="E17" s="9">
        <v>-120153.7375578793</v>
      </c>
      <c r="F17" s="8" t="s">
        <v>3</v>
      </c>
      <c r="G17" s="1"/>
    </row>
    <row r="18" spans="1:7" ht="15" customHeight="1" x14ac:dyDescent="0.25">
      <c r="A18" s="1"/>
      <c r="B18" s="121" t="s">
        <v>24</v>
      </c>
      <c r="C18" s="122"/>
      <c r="D18" s="123"/>
      <c r="E18" s="9">
        <f>-'Fane 4.1. Gen. krav - drift'!G39</f>
        <v>-295729.79384099349</v>
      </c>
      <c r="F18" s="8" t="s">
        <v>3</v>
      </c>
      <c r="G18" s="1"/>
    </row>
    <row r="19" spans="1:7" ht="15" customHeight="1" x14ac:dyDescent="0.25">
      <c r="A19" s="1"/>
      <c r="B19" s="121" t="s">
        <v>25</v>
      </c>
      <c r="C19" s="122"/>
      <c r="D19" s="123"/>
      <c r="E19" s="9">
        <f>-'Fane 4.2. Gen. krav - anlæg'!G37</f>
        <v>-883787.52676233801</v>
      </c>
      <c r="F19" s="8" t="s">
        <v>3</v>
      </c>
      <c r="G19" s="1"/>
    </row>
    <row r="20" spans="1:7" ht="15" customHeight="1" x14ac:dyDescent="0.25">
      <c r="A20" s="1"/>
      <c r="B20" s="54" t="s">
        <v>21</v>
      </c>
      <c r="C20" s="90"/>
      <c r="D20" s="95"/>
      <c r="E20" s="51">
        <f>SUM(E9:E19)</f>
        <v>72669657.685585365</v>
      </c>
      <c r="F20" s="53"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123820.18574623002</v>
      </c>
      <c r="F22" s="11" t="s">
        <v>3</v>
      </c>
      <c r="G22" s="1"/>
    </row>
    <row r="23" spans="1:7" ht="15" customHeight="1" x14ac:dyDescent="0.25">
      <c r="A23" s="1"/>
      <c r="B23" s="131" t="s">
        <v>86</v>
      </c>
      <c r="C23" s="132"/>
      <c r="D23" s="133"/>
      <c r="E23" s="27"/>
      <c r="F23" s="27"/>
      <c r="G23" s="1"/>
    </row>
    <row r="24" spans="1:7" ht="15" customHeight="1" x14ac:dyDescent="0.25">
      <c r="A24" s="1"/>
      <c r="B24" s="89"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4" t="s">
        <v>87</v>
      </c>
      <c r="C28" s="135"/>
      <c r="D28" s="135"/>
      <c r="E28" s="39">
        <v>0</v>
      </c>
      <c r="F28" s="11" t="s">
        <v>3</v>
      </c>
      <c r="G28" s="1"/>
    </row>
    <row r="29" spans="1:7" ht="15" customHeight="1" x14ac:dyDescent="0.25">
      <c r="A29" s="1"/>
      <c r="B29" s="32" t="s">
        <v>143</v>
      </c>
      <c r="C29" s="32"/>
      <c r="D29" s="32"/>
      <c r="E29" s="27"/>
      <c r="F29" s="27"/>
      <c r="G29" s="1"/>
    </row>
    <row r="30" spans="1:7" ht="15" customHeight="1" x14ac:dyDescent="0.25">
      <c r="A30" s="1"/>
      <c r="B30" s="128" t="s">
        <v>142</v>
      </c>
      <c r="C30" s="129"/>
      <c r="D30" s="129"/>
      <c r="E30" s="39">
        <v>0</v>
      </c>
      <c r="F30" s="11" t="s">
        <v>3</v>
      </c>
      <c r="G30" s="1"/>
    </row>
    <row r="31" spans="1:7" x14ac:dyDescent="0.25">
      <c r="A31" s="1"/>
      <c r="B31" s="32" t="s">
        <v>123</v>
      </c>
      <c r="C31" s="27"/>
      <c r="D31" s="27"/>
      <c r="E31" s="27"/>
      <c r="F31" s="27"/>
      <c r="G31" s="1"/>
    </row>
    <row r="32" spans="1:7" ht="15.4" customHeight="1" x14ac:dyDescent="0.25">
      <c r="A32" s="1"/>
      <c r="B32" s="128" t="s">
        <v>123</v>
      </c>
      <c r="C32" s="129"/>
      <c r="D32" s="130"/>
      <c r="E32" s="10">
        <v>0</v>
      </c>
      <c r="F32" s="11" t="s">
        <v>3</v>
      </c>
      <c r="G32" s="1"/>
    </row>
    <row r="33" spans="1:7" ht="15.4" customHeight="1" x14ac:dyDescent="0.25">
      <c r="A33" s="1"/>
      <c r="B33" s="131" t="s">
        <v>175</v>
      </c>
      <c r="C33" s="132"/>
      <c r="D33" s="132"/>
      <c r="E33" s="132"/>
      <c r="F33" s="133"/>
      <c r="G33" s="1"/>
    </row>
    <row r="34" spans="1:7" ht="15.4" customHeight="1" x14ac:dyDescent="0.25">
      <c r="A34" s="1"/>
      <c r="B34" s="96" t="s">
        <v>176</v>
      </c>
      <c r="C34" s="10"/>
      <c r="D34" s="11"/>
      <c r="E34" s="10">
        <f>'Fane 8. Skattesagen'!G11</f>
        <v>-3448196.6666666698</v>
      </c>
      <c r="F34" s="11" t="s">
        <v>3</v>
      </c>
      <c r="G34" s="1"/>
    </row>
    <row r="35" spans="1:7" x14ac:dyDescent="0.25">
      <c r="A35" s="1"/>
      <c r="B35" s="55" t="s">
        <v>218</v>
      </c>
      <c r="C35" s="56"/>
      <c r="D35" s="19"/>
      <c r="E35" s="45">
        <f>SUM(E32,E30,E28,E24,E22,E20,E34)</f>
        <v>69345281.204664916</v>
      </c>
      <c r="F35" s="52" t="s">
        <v>3</v>
      </c>
      <c r="G35" s="1"/>
    </row>
    <row r="36" spans="1:7" ht="27" customHeight="1" x14ac:dyDescent="0.25">
      <c r="A36" s="1"/>
      <c r="B36" s="121" t="s">
        <v>222</v>
      </c>
      <c r="C36" s="122"/>
      <c r="D36" s="122"/>
      <c r="E36" s="122"/>
      <c r="F36" s="123"/>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6G1oqejM3LDVZDYe247HhU3+e+R6fQ8CnAhSD4zYPBeQzYfmjvLenp7lqdcrI5V4+4K/TW6Fs3onshd9C7D0/g==" saltValue="W1S7y5DzZxgMcMQODRAVVQ=="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topLeftCell="A45" zoomScale="90" zoomScaleNormal="100" zoomScalePageLayoutView="90" workbookViewId="0"/>
  </sheetViews>
  <sheetFormatPr defaultColWidth="9.140625" defaultRowHeight="15" x14ac:dyDescent="0.25"/>
  <cols>
    <col min="1" max="1" width="2.140625" style="2" customWidth="1"/>
    <col min="2" max="5" width="9.140625" style="2"/>
    <col min="6" max="6" width="25.7109375" style="2" customWidth="1"/>
    <col min="7" max="7" width="16.28515625" style="2" customWidth="1"/>
    <col min="8" max="8" width="3.42578125" style="2" customWidth="1"/>
    <col min="9" max="9" width="2"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4" t="s">
        <v>109</v>
      </c>
      <c r="C2" s="124"/>
      <c r="D2" s="124"/>
      <c r="E2" s="124"/>
      <c r="F2" s="124"/>
      <c r="G2" s="124"/>
      <c r="H2" s="124"/>
      <c r="I2" s="1"/>
    </row>
    <row r="3" spans="1:9" ht="28.5" customHeight="1" x14ac:dyDescent="0.25">
      <c r="A3" s="1"/>
      <c r="B3" s="124"/>
      <c r="C3" s="124"/>
      <c r="D3" s="124"/>
      <c r="E3" s="124"/>
      <c r="F3" s="124"/>
      <c r="G3" s="124"/>
      <c r="H3" s="124"/>
      <c r="I3" s="1"/>
    </row>
    <row r="4" spans="1:9" x14ac:dyDescent="0.25">
      <c r="A4" s="1"/>
      <c r="B4" s="131" t="s">
        <v>52</v>
      </c>
      <c r="C4" s="132"/>
      <c r="D4" s="132"/>
      <c r="E4" s="132"/>
      <c r="F4" s="132"/>
      <c r="G4" s="132"/>
      <c r="H4" s="133"/>
      <c r="I4" s="1"/>
    </row>
    <row r="5" spans="1:9" x14ac:dyDescent="0.25">
      <c r="A5" s="1"/>
      <c r="B5" s="136" t="s">
        <v>41</v>
      </c>
      <c r="C5" s="137"/>
      <c r="D5" s="137"/>
      <c r="E5" s="137"/>
      <c r="F5" s="138"/>
      <c r="G5" s="76">
        <v>12945809.1102097</v>
      </c>
      <c r="H5" s="14" t="s">
        <v>3</v>
      </c>
      <c r="I5" s="1"/>
    </row>
    <row r="6" spans="1:9" x14ac:dyDescent="0.25">
      <c r="A6" s="1"/>
      <c r="B6" s="121" t="s">
        <v>120</v>
      </c>
      <c r="C6" s="122"/>
      <c r="D6" s="122"/>
      <c r="E6" s="122"/>
      <c r="F6" s="123"/>
      <c r="G6" s="77">
        <v>0</v>
      </c>
      <c r="H6" s="14" t="s">
        <v>3</v>
      </c>
      <c r="I6" s="1"/>
    </row>
    <row r="7" spans="1:9" x14ac:dyDescent="0.25">
      <c r="A7" s="1"/>
      <c r="B7" s="136" t="s">
        <v>42</v>
      </c>
      <c r="C7" s="137"/>
      <c r="D7" s="137"/>
      <c r="E7" s="137"/>
      <c r="F7" s="138"/>
      <c r="G7" s="76">
        <f>SUM(G5:G6)*'Fane 15. Nøgletal'!C31</f>
        <v>258916.18220419399</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1" t="s">
        <v>53</v>
      </c>
      <c r="C10" s="132"/>
      <c r="D10" s="132"/>
      <c r="E10" s="132"/>
      <c r="F10" s="132"/>
      <c r="G10" s="139"/>
      <c r="H10" s="133"/>
      <c r="I10" s="1"/>
    </row>
    <row r="11" spans="1:9" x14ac:dyDescent="0.25">
      <c r="A11" s="1"/>
      <c r="B11" s="136" t="s">
        <v>43</v>
      </c>
      <c r="C11" s="137"/>
      <c r="D11" s="137"/>
      <c r="E11" s="137"/>
      <c r="F11" s="138"/>
      <c r="G11" s="76">
        <f>(G5-G7)*(1+'Fane 15. Nøgletal'!C10)</f>
        <v>12908913.554245602</v>
      </c>
      <c r="H11" s="14" t="s">
        <v>3</v>
      </c>
      <c r="I11" s="1"/>
    </row>
    <row r="12" spans="1:9" ht="15" customHeight="1" x14ac:dyDescent="0.25">
      <c r="A12" s="1"/>
      <c r="B12" s="136" t="s">
        <v>121</v>
      </c>
      <c r="C12" s="137"/>
      <c r="D12" s="137"/>
      <c r="E12" s="137"/>
      <c r="F12" s="138"/>
      <c r="G12" s="77">
        <v>292762.53924775019</v>
      </c>
      <c r="H12" s="14" t="s">
        <v>3</v>
      </c>
      <c r="I12" s="1"/>
    </row>
    <row r="13" spans="1:9" x14ac:dyDescent="0.25">
      <c r="A13" s="1"/>
      <c r="B13" s="121" t="s">
        <v>118</v>
      </c>
      <c r="C13" s="122"/>
      <c r="D13" s="122"/>
      <c r="E13" s="122"/>
      <c r="F13" s="123"/>
      <c r="G13" s="77">
        <v>0</v>
      </c>
      <c r="H13" s="14" t="s">
        <v>3</v>
      </c>
      <c r="I13" s="1"/>
    </row>
    <row r="14" spans="1:9" x14ac:dyDescent="0.25">
      <c r="A14" s="1"/>
      <c r="B14" s="143" t="s">
        <v>44</v>
      </c>
      <c r="C14" s="144"/>
      <c r="D14" s="144"/>
      <c r="E14" s="144"/>
      <c r="F14" s="145"/>
      <c r="G14" s="77">
        <v>0</v>
      </c>
      <c r="H14" s="14" t="s">
        <v>3</v>
      </c>
      <c r="I14" s="1"/>
    </row>
    <row r="15" spans="1:9" x14ac:dyDescent="0.25">
      <c r="A15" s="1"/>
      <c r="B15" s="136" t="s">
        <v>45</v>
      </c>
      <c r="C15" s="137"/>
      <c r="D15" s="137"/>
      <c r="E15" s="137"/>
      <c r="F15" s="138"/>
      <c r="G15" s="76">
        <f>SUM(G11:G14)*'Fane 15. Nøgletal'!C31</f>
        <v>264033.52186986705</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1" t="s">
        <v>54</v>
      </c>
      <c r="C18" s="132"/>
      <c r="D18" s="132"/>
      <c r="E18" s="132"/>
      <c r="F18" s="132"/>
      <c r="G18" s="139"/>
      <c r="H18" s="133"/>
      <c r="I18" s="1"/>
    </row>
    <row r="19" spans="1:9" x14ac:dyDescent="0.25">
      <c r="A19" s="1"/>
      <c r="B19" s="136" t="s">
        <v>46</v>
      </c>
      <c r="C19" s="137"/>
      <c r="D19" s="137"/>
      <c r="E19" s="137"/>
      <c r="F19" s="138"/>
      <c r="G19" s="76">
        <f>(SUM(G11:G12,G14)-(G15))*(1+'Fane 15. Nøgletal'!C10)</f>
        <v>13164051.316626897</v>
      </c>
      <c r="H19" s="14" t="s">
        <v>3</v>
      </c>
      <c r="I19" s="1"/>
    </row>
    <row r="20" spans="1:9" x14ac:dyDescent="0.25">
      <c r="A20" s="1"/>
      <c r="B20" s="143" t="s">
        <v>47</v>
      </c>
      <c r="C20" s="144"/>
      <c r="D20" s="144"/>
      <c r="E20" s="144"/>
      <c r="F20" s="145"/>
      <c r="G20" s="77">
        <v>367955.58034946991</v>
      </c>
      <c r="H20" s="14" t="s">
        <v>3</v>
      </c>
      <c r="I20" s="1"/>
    </row>
    <row r="21" spans="1:9" x14ac:dyDescent="0.25">
      <c r="A21" s="1"/>
      <c r="B21" s="136" t="s">
        <v>48</v>
      </c>
      <c r="C21" s="137"/>
      <c r="D21" s="137"/>
      <c r="E21" s="137"/>
      <c r="F21" s="138"/>
      <c r="G21" s="76">
        <f>SUM(G19:G20)*'Fane 15. Nøgletal'!C31</f>
        <v>270640.13793952734</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1" t="s">
        <v>55</v>
      </c>
      <c r="C24" s="132"/>
      <c r="D24" s="132"/>
      <c r="E24" s="132"/>
      <c r="F24" s="132"/>
      <c r="G24" s="139"/>
      <c r="H24" s="133"/>
      <c r="I24" s="1"/>
    </row>
    <row r="25" spans="1:9" x14ac:dyDescent="0.25">
      <c r="A25" s="1"/>
      <c r="B25" s="136" t="s">
        <v>49</v>
      </c>
      <c r="C25" s="137"/>
      <c r="D25" s="137"/>
      <c r="E25" s="137"/>
      <c r="F25" s="138"/>
      <c r="G25" s="76">
        <f>(G19+G20-G21)*(1+'Fane 15. Nøgletal'!C12)</f>
        <v>13522615.684189865</v>
      </c>
      <c r="H25" s="14" t="s">
        <v>3</v>
      </c>
      <c r="I25" s="1"/>
    </row>
    <row r="26" spans="1:9" x14ac:dyDescent="0.25">
      <c r="A26" s="1"/>
      <c r="B26" s="143" t="s">
        <v>50</v>
      </c>
      <c r="C26" s="144"/>
      <c r="D26" s="144"/>
      <c r="E26" s="144"/>
      <c r="F26" s="145"/>
      <c r="G26" s="77">
        <v>667520.03865393007</v>
      </c>
      <c r="H26" s="14" t="s">
        <v>3</v>
      </c>
      <c r="I26" s="1"/>
    </row>
    <row r="27" spans="1:9" x14ac:dyDescent="0.25">
      <c r="A27" s="1"/>
      <c r="B27" s="136" t="s">
        <v>51</v>
      </c>
      <c r="C27" s="137"/>
      <c r="D27" s="137"/>
      <c r="E27" s="137"/>
      <c r="F27" s="138"/>
      <c r="G27" s="76">
        <f>(G25+G26)*'Fane 15. Nøgletal'!C31</f>
        <v>283802.71445687592</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1" t="s">
        <v>58</v>
      </c>
      <c r="C30" s="132"/>
      <c r="D30" s="132"/>
      <c r="E30" s="132"/>
      <c r="F30" s="132"/>
      <c r="G30" s="139"/>
      <c r="H30" s="133"/>
      <c r="I30" s="1"/>
    </row>
    <row r="31" spans="1:9" x14ac:dyDescent="0.25">
      <c r="A31" s="1"/>
      <c r="B31" s="136" t="s">
        <v>59</v>
      </c>
      <c r="C31" s="137"/>
      <c r="D31" s="137"/>
      <c r="E31" s="137"/>
      <c r="F31" s="138"/>
      <c r="G31" s="76">
        <f>(G25+G26-G27)*(1+'Fane 15. Nøgletal'!C12)</f>
        <v>14180287.768652143</v>
      </c>
      <c r="H31" s="14" t="s">
        <v>3</v>
      </c>
      <c r="I31" s="1"/>
    </row>
    <row r="32" spans="1:9" x14ac:dyDescent="0.25">
      <c r="A32" s="1"/>
      <c r="B32" s="136" t="s">
        <v>137</v>
      </c>
      <c r="C32" s="137"/>
      <c r="D32" s="137"/>
      <c r="E32" s="137"/>
      <c r="F32" s="138"/>
      <c r="G32" s="76">
        <v>19013.577372719999</v>
      </c>
      <c r="H32" s="14" t="s">
        <v>3</v>
      </c>
      <c r="I32" s="1"/>
    </row>
    <row r="33" spans="1:9" x14ac:dyDescent="0.25">
      <c r="A33" s="1"/>
      <c r="B33" s="136" t="s">
        <v>60</v>
      </c>
      <c r="C33" s="137"/>
      <c r="D33" s="137"/>
      <c r="E33" s="137"/>
      <c r="F33" s="138"/>
      <c r="G33" s="76">
        <f>(G31+G32)*'Fane 15. Nøgletal'!C31</f>
        <v>283986.0269204973</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1" t="s">
        <v>160</v>
      </c>
      <c r="C36" s="132"/>
      <c r="D36" s="132"/>
      <c r="E36" s="132"/>
      <c r="F36" s="132"/>
      <c r="G36" s="139"/>
      <c r="H36" s="133"/>
      <c r="I36" s="1"/>
    </row>
    <row r="37" spans="1:9" x14ac:dyDescent="0.25">
      <c r="A37" s="1"/>
      <c r="B37" s="136" t="s">
        <v>79</v>
      </c>
      <c r="C37" s="137"/>
      <c r="D37" s="137"/>
      <c r="E37" s="137"/>
      <c r="F37" s="138"/>
      <c r="G37" s="76">
        <f>(G31+G32-G33)*(1+'Fane 15. Nøgletal'!C14)</f>
        <v>13961235.859657412</v>
      </c>
      <c r="H37" s="14" t="s">
        <v>3</v>
      </c>
      <c r="I37" s="1"/>
    </row>
    <row r="38" spans="1:9" x14ac:dyDescent="0.25">
      <c r="A38" s="1"/>
      <c r="B38" s="136" t="s">
        <v>164</v>
      </c>
      <c r="C38" s="137"/>
      <c r="D38" s="137"/>
      <c r="E38" s="137"/>
      <c r="F38" s="138"/>
      <c r="G38" s="76">
        <v>825253.83239226008</v>
      </c>
      <c r="H38" s="14" t="s">
        <v>3</v>
      </c>
      <c r="I38" s="1"/>
    </row>
    <row r="39" spans="1:9" x14ac:dyDescent="0.25">
      <c r="A39" s="1"/>
      <c r="B39" s="136" t="s">
        <v>162</v>
      </c>
      <c r="C39" s="137"/>
      <c r="D39" s="137"/>
      <c r="E39" s="137"/>
      <c r="F39" s="138"/>
      <c r="G39" s="76">
        <f>(G37+G38)*'Fane 15. Nøgletal'!C31</f>
        <v>295729.79384099349</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1" t="s">
        <v>161</v>
      </c>
      <c r="C42" s="132"/>
      <c r="D42" s="132"/>
      <c r="E42" s="132"/>
      <c r="F42" s="132"/>
      <c r="G42" s="139"/>
      <c r="H42" s="133"/>
      <c r="I42" s="1"/>
    </row>
    <row r="43" spans="1:9" x14ac:dyDescent="0.25">
      <c r="A43" s="1"/>
      <c r="B43" s="136" t="s">
        <v>228</v>
      </c>
      <c r="C43" s="137"/>
      <c r="D43" s="137"/>
      <c r="E43" s="137"/>
      <c r="F43" s="138"/>
      <c r="G43" s="76">
        <f>(G37+G38-G39)*(1+'Fane 15. Nøgletal'!C14)</f>
        <v>14538579.40587277</v>
      </c>
      <c r="H43" s="14" t="s">
        <v>3</v>
      </c>
      <c r="I43" s="1"/>
    </row>
    <row r="44" spans="1:9" x14ac:dyDescent="0.25">
      <c r="A44" s="1"/>
      <c r="B44" s="140" t="s">
        <v>230</v>
      </c>
      <c r="C44" s="141"/>
      <c r="D44" s="141"/>
      <c r="E44" s="141"/>
      <c r="F44" s="142"/>
      <c r="G44" s="80">
        <f>('Fane 2.1. Økonomisk ramme 2023'!C10+'Fane 2.1. Økonomisk ramme 2023'!C12+'Fane 2.1. Økonomisk ramme 2023'!C14)*(1+'Fane 15. Nøgletal'!C15)</f>
        <v>154192.92221664003</v>
      </c>
      <c r="H44" s="14" t="s">
        <v>3</v>
      </c>
      <c r="I44" s="1"/>
    </row>
    <row r="45" spans="1:9" x14ac:dyDescent="0.25">
      <c r="A45" s="1"/>
      <c r="B45" s="136" t="s">
        <v>163</v>
      </c>
      <c r="C45" s="137"/>
      <c r="D45" s="137"/>
      <c r="E45" s="137"/>
      <c r="F45" s="138"/>
      <c r="G45" s="76">
        <f>SUM(G43:G44)*'Fane 15. Nøgletal'!C31</f>
        <v>293855.44656178821</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1" t="s">
        <v>241</v>
      </c>
      <c r="C51" s="132"/>
      <c r="D51" s="132"/>
      <c r="E51" s="132"/>
      <c r="F51" s="132"/>
      <c r="G51" s="139"/>
      <c r="H51" s="133"/>
      <c r="I51" s="1"/>
    </row>
    <row r="52" spans="1:9" x14ac:dyDescent="0.25">
      <c r="A52" s="1"/>
      <c r="B52" s="136" t="s">
        <v>227</v>
      </c>
      <c r="C52" s="137"/>
      <c r="D52" s="137"/>
      <c r="E52" s="137"/>
      <c r="F52" s="138"/>
      <c r="G52" s="76">
        <f>(G43+G44-G45)*(1+'Fane 15. Nøgletal'!C15)</f>
        <v>14911518.322510006</v>
      </c>
      <c r="H52" s="14" t="s">
        <v>3</v>
      </c>
      <c r="I52" s="1"/>
    </row>
    <row r="53" spans="1:9" x14ac:dyDescent="0.25">
      <c r="A53" s="1"/>
      <c r="B53" s="136" t="s">
        <v>138</v>
      </c>
      <c r="C53" s="137"/>
      <c r="D53" s="137"/>
      <c r="E53" s="137"/>
      <c r="F53" s="138"/>
      <c r="G53" s="76">
        <f>(G52)*'Fane 15. Nøgletal'!C31</f>
        <v>298230.36645020015</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1" t="s">
        <v>150</v>
      </c>
      <c r="C56" s="132"/>
      <c r="D56" s="132"/>
      <c r="E56" s="132"/>
      <c r="F56" s="132"/>
      <c r="G56" s="139"/>
      <c r="H56" s="133"/>
      <c r="I56" s="1"/>
    </row>
    <row r="57" spans="1:9" x14ac:dyDescent="0.25">
      <c r="A57" s="1"/>
      <c r="B57" s="91" t="s">
        <v>151</v>
      </c>
      <c r="C57" s="92"/>
      <c r="D57" s="92"/>
      <c r="E57" s="92"/>
      <c r="F57" s="93"/>
      <c r="G57" s="76">
        <f>(G52-G53)*(1+'Fane 15. Nøgletal'!C15)</f>
        <v>15133521.007295536</v>
      </c>
      <c r="H57" s="14" t="s">
        <v>3</v>
      </c>
      <c r="I57" s="1"/>
    </row>
    <row r="58" spans="1:9" x14ac:dyDescent="0.25">
      <c r="A58" s="1"/>
      <c r="B58" s="91" t="s">
        <v>152</v>
      </c>
      <c r="C58" s="92"/>
      <c r="D58" s="92"/>
      <c r="E58" s="92"/>
      <c r="F58" s="93"/>
      <c r="G58" s="76">
        <f>(G57)*'Fane 15. Nøgletal'!C31</f>
        <v>302670.4201459107</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1" t="s">
        <v>193</v>
      </c>
      <c r="C61" s="132"/>
      <c r="D61" s="132"/>
      <c r="E61" s="132"/>
      <c r="F61" s="132"/>
      <c r="G61" s="139"/>
      <c r="H61" s="133"/>
      <c r="I61" s="1"/>
    </row>
    <row r="62" spans="1:9" x14ac:dyDescent="0.25">
      <c r="A62" s="1"/>
      <c r="B62" s="91" t="s">
        <v>194</v>
      </c>
      <c r="C62" s="92"/>
      <c r="D62" s="92"/>
      <c r="E62" s="92"/>
      <c r="F62" s="93"/>
      <c r="G62" s="76">
        <f>(G57-G58)*(1+'Fane 15. Nøgletal'!C15)</f>
        <v>15358828.868052153</v>
      </c>
      <c r="H62" s="14" t="s">
        <v>3</v>
      </c>
      <c r="I62" s="1"/>
    </row>
    <row r="63" spans="1:9" x14ac:dyDescent="0.25">
      <c r="A63" s="1"/>
      <c r="B63" s="91" t="s">
        <v>195</v>
      </c>
      <c r="C63" s="92"/>
      <c r="D63" s="92"/>
      <c r="E63" s="92"/>
      <c r="F63" s="93"/>
      <c r="G63" s="76">
        <f>(G62)*'Fane 15. Nøgletal'!C31</f>
        <v>307176.57736104308</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yYXlV6lt3aQlAHsta2LIoRGSxHCrGMOTgTuRlUOUjBSbQdbeZvH5qMeimrQGzIbRvCgKUeaawOXuuiJyO1hNhw==" saltValue="una7XeS6CU85uatAlxAI4g=="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topLeftCell="A45" zoomScale="87" zoomScaleNormal="100" zoomScalePageLayoutView="87" workbookViewId="0"/>
  </sheetViews>
  <sheetFormatPr defaultColWidth="9.140625" defaultRowHeight="15" x14ac:dyDescent="0.25"/>
  <cols>
    <col min="1" max="1" width="2.140625" style="2" customWidth="1"/>
    <col min="2" max="5" width="9.140625" style="2"/>
    <col min="6" max="6" width="28.5703125" style="2" customWidth="1"/>
    <col min="7" max="7" width="14.140625" style="2" customWidth="1"/>
    <col min="8" max="8" width="3.28515625" style="2" customWidth="1"/>
    <col min="9" max="9" width="2.14062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31" t="s">
        <v>56</v>
      </c>
      <c r="C4" s="132"/>
      <c r="D4" s="132"/>
      <c r="E4" s="132"/>
      <c r="F4" s="132"/>
      <c r="G4" s="132"/>
      <c r="H4" s="133"/>
      <c r="I4" s="1"/>
    </row>
    <row r="5" spans="1:9" x14ac:dyDescent="0.25">
      <c r="A5" s="1"/>
      <c r="B5" s="136" t="s">
        <v>61</v>
      </c>
      <c r="C5" s="137"/>
      <c r="D5" s="137"/>
      <c r="E5" s="137"/>
      <c r="F5" s="138"/>
      <c r="G5" s="76">
        <v>59574404.959096842</v>
      </c>
      <c r="H5" s="14" t="s">
        <v>3</v>
      </c>
      <c r="I5" s="1"/>
    </row>
    <row r="6" spans="1:9" x14ac:dyDescent="0.25">
      <c r="A6" s="1"/>
      <c r="B6" s="136" t="s">
        <v>57</v>
      </c>
      <c r="C6" s="137"/>
      <c r="D6" s="137"/>
      <c r="E6" s="137"/>
      <c r="F6" s="138"/>
      <c r="G6" s="76">
        <f>G5*'Fane 15. Nøgletal'!C20</f>
        <v>542127.08512778126</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1" t="s">
        <v>62</v>
      </c>
      <c r="C9" s="132"/>
      <c r="D9" s="132"/>
      <c r="E9" s="132"/>
      <c r="F9" s="132"/>
      <c r="G9" s="139"/>
      <c r="H9" s="133"/>
      <c r="I9" s="1"/>
    </row>
    <row r="10" spans="1:9" x14ac:dyDescent="0.25">
      <c r="A10" s="1"/>
      <c r="B10" s="136" t="s">
        <v>63</v>
      </c>
      <c r="C10" s="137"/>
      <c r="D10" s="137"/>
      <c r="E10" s="137"/>
      <c r="F10" s="138"/>
      <c r="G10" s="76">
        <f>(G5-G6)*(1+'Fane 15. Nøgletal'!C10)</f>
        <v>60065342.736763529</v>
      </c>
      <c r="H10" s="14" t="s">
        <v>3</v>
      </c>
      <c r="I10" s="1"/>
    </row>
    <row r="11" spans="1:9" x14ac:dyDescent="0.25">
      <c r="A11" s="1"/>
      <c r="B11" s="136" t="s">
        <v>122</v>
      </c>
      <c r="C11" s="137"/>
      <c r="D11" s="137"/>
      <c r="E11" s="137"/>
      <c r="F11" s="138"/>
      <c r="G11" s="76">
        <v>-27811.477337219625</v>
      </c>
      <c r="H11" s="14" t="s">
        <v>3</v>
      </c>
      <c r="I11" s="1"/>
    </row>
    <row r="12" spans="1:9" x14ac:dyDescent="0.25">
      <c r="A12" s="1"/>
      <c r="B12" s="143" t="s">
        <v>64</v>
      </c>
      <c r="C12" s="144"/>
      <c r="D12" s="144"/>
      <c r="E12" s="144"/>
      <c r="F12" s="145"/>
      <c r="G12" s="77">
        <v>0</v>
      </c>
      <c r="H12" s="14" t="s">
        <v>3</v>
      </c>
      <c r="I12" s="1"/>
    </row>
    <row r="13" spans="1:9" x14ac:dyDescent="0.25">
      <c r="A13" s="1"/>
      <c r="B13" s="136" t="s">
        <v>65</v>
      </c>
      <c r="C13" s="137"/>
      <c r="D13" s="137"/>
      <c r="E13" s="137"/>
      <c r="F13" s="138"/>
      <c r="G13" s="76">
        <f>SUM(G10:G12)*'Fane 15. Nøgletal'!C21</f>
        <v>1062664.3032918458</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1" t="s">
        <v>66</v>
      </c>
      <c r="C16" s="132"/>
      <c r="D16" s="132"/>
      <c r="E16" s="132"/>
      <c r="F16" s="132"/>
      <c r="G16" s="139"/>
      <c r="H16" s="133"/>
      <c r="I16" s="1"/>
    </row>
    <row r="17" spans="1:9" x14ac:dyDescent="0.25">
      <c r="A17" s="1"/>
      <c r="B17" s="136" t="s">
        <v>67</v>
      </c>
      <c r="C17" s="137"/>
      <c r="D17" s="137"/>
      <c r="E17" s="137"/>
      <c r="F17" s="138"/>
      <c r="G17" s="76">
        <f>(SUM(G10:G12)-G13)*(1+'Fane 15. Nøgletal'!C10)</f>
        <v>60006927.127866827</v>
      </c>
      <c r="H17" s="14" t="s">
        <v>3</v>
      </c>
      <c r="I17" s="1"/>
    </row>
    <row r="18" spans="1:9" x14ac:dyDescent="0.25">
      <c r="A18" s="1"/>
      <c r="B18" s="143" t="s">
        <v>68</v>
      </c>
      <c r="C18" s="144"/>
      <c r="D18" s="144"/>
      <c r="E18" s="144"/>
      <c r="F18" s="145"/>
      <c r="G18" s="76">
        <v>1027884.1985968298</v>
      </c>
      <c r="H18" s="14" t="s">
        <v>3</v>
      </c>
      <c r="I18" s="1"/>
    </row>
    <row r="19" spans="1:9" x14ac:dyDescent="0.25">
      <c r="A19" s="1"/>
      <c r="B19" s="136" t="s">
        <v>69</v>
      </c>
      <c r="C19" s="137"/>
      <c r="D19" s="137"/>
      <c r="E19" s="137"/>
      <c r="F19" s="138"/>
      <c r="G19" s="76">
        <f>G17*'Fane 15. Nøgletal'!C21+G18*'Fane 15. Nøgletal'!C22</f>
        <v>1071065.2026910351</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1" t="s">
        <v>70</v>
      </c>
      <c r="C22" s="132"/>
      <c r="D22" s="132"/>
      <c r="E22" s="132"/>
      <c r="F22" s="132"/>
      <c r="G22" s="139"/>
      <c r="H22" s="133"/>
      <c r="I22" s="1"/>
    </row>
    <row r="23" spans="1:9" x14ac:dyDescent="0.25">
      <c r="A23" s="1"/>
      <c r="B23" s="136" t="s">
        <v>71</v>
      </c>
      <c r="C23" s="137"/>
      <c r="D23" s="137"/>
      <c r="E23" s="137"/>
      <c r="F23" s="138"/>
      <c r="G23" s="76">
        <f>(G17+G18-G19)*(1+'Fane 15. Nøgletal'!C12)</f>
        <v>61145031.922410943</v>
      </c>
      <c r="H23" s="14" t="s">
        <v>3</v>
      </c>
      <c r="I23" s="1"/>
    </row>
    <row r="24" spans="1:9" x14ac:dyDescent="0.25">
      <c r="A24" s="1"/>
      <c r="B24" s="143" t="s">
        <v>72</v>
      </c>
      <c r="C24" s="144"/>
      <c r="D24" s="144"/>
      <c r="E24" s="144"/>
      <c r="F24" s="145"/>
      <c r="G24" s="76">
        <v>569916.04046020878</v>
      </c>
      <c r="H24" s="14" t="s">
        <v>3</v>
      </c>
      <c r="I24" s="1"/>
    </row>
    <row r="25" spans="1:9" x14ac:dyDescent="0.25">
      <c r="A25" s="1"/>
      <c r="B25" s="136" t="s">
        <v>73</v>
      </c>
      <c r="C25" s="137"/>
      <c r="D25" s="137"/>
      <c r="E25" s="137"/>
      <c r="F25" s="138"/>
      <c r="G25" s="76">
        <f>(G23+G24)*'Fane 15. Nøgletal'!C23</f>
        <v>1752704.5221455407</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1" t="s">
        <v>74</v>
      </c>
      <c r="C28" s="132"/>
      <c r="D28" s="132"/>
      <c r="E28" s="132"/>
      <c r="F28" s="132"/>
      <c r="G28" s="139"/>
      <c r="H28" s="133"/>
      <c r="I28" s="1"/>
    </row>
    <row r="29" spans="1:9" x14ac:dyDescent="0.25">
      <c r="A29" s="1"/>
      <c r="B29" s="136" t="s">
        <v>75</v>
      </c>
      <c r="C29" s="137"/>
      <c r="D29" s="137"/>
      <c r="E29" s="137"/>
      <c r="F29" s="138"/>
      <c r="G29" s="76">
        <f>(G23+G24-G25)*(1+'Fane 15. Nøgletal'!C12)</f>
        <v>61143499.636507906</v>
      </c>
      <c r="H29" s="14" t="s">
        <v>3</v>
      </c>
      <c r="I29" s="1"/>
    </row>
    <row r="30" spans="1:9" x14ac:dyDescent="0.25">
      <c r="A30" s="1"/>
      <c r="B30" s="136" t="s">
        <v>139</v>
      </c>
      <c r="C30" s="137"/>
      <c r="D30" s="137"/>
      <c r="E30" s="137"/>
      <c r="F30" s="138"/>
      <c r="G30" s="76">
        <v>115101.91488096</v>
      </c>
      <c r="H30" s="14" t="s">
        <v>3</v>
      </c>
      <c r="I30" s="1"/>
    </row>
    <row r="31" spans="1:9" x14ac:dyDescent="0.25">
      <c r="A31" s="1"/>
      <c r="B31" s="136" t="s">
        <v>76</v>
      </c>
      <c r="C31" s="137"/>
      <c r="D31" s="137"/>
      <c r="E31" s="137"/>
      <c r="F31" s="138"/>
      <c r="G31" s="76">
        <f>G29*'Fane 15. Nøgletal'!C23+G30*'Fane 15. Nøgletal'!C24</f>
        <v>1739640.692336051</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1" t="s">
        <v>165</v>
      </c>
      <c r="C34" s="132"/>
      <c r="D34" s="132"/>
      <c r="E34" s="132"/>
      <c r="F34" s="132"/>
      <c r="G34" s="139"/>
      <c r="H34" s="133"/>
      <c r="I34" s="1"/>
    </row>
    <row r="35" spans="1:9" x14ac:dyDescent="0.25">
      <c r="A35" s="1"/>
      <c r="B35" s="136" t="s">
        <v>78</v>
      </c>
      <c r="C35" s="137"/>
      <c r="D35" s="137"/>
      <c r="E35" s="137"/>
      <c r="F35" s="138"/>
      <c r="G35" s="76">
        <f>(G29+G30-G31)*(1+'Fane 15. Nøgletal'!C14)</f>
        <v>59715373.429887697</v>
      </c>
      <c r="H35" s="14" t="s">
        <v>3</v>
      </c>
      <c r="I35" s="1"/>
    </row>
    <row r="36" spans="1:9" x14ac:dyDescent="0.25">
      <c r="A36" s="1"/>
      <c r="B36" s="136" t="s">
        <v>167</v>
      </c>
      <c r="C36" s="137"/>
      <c r="D36" s="137"/>
      <c r="E36" s="137"/>
      <c r="F36" s="138"/>
      <c r="G36" s="76">
        <v>0</v>
      </c>
      <c r="H36" s="14" t="s">
        <v>3</v>
      </c>
      <c r="I36" s="1"/>
    </row>
    <row r="37" spans="1:9" x14ac:dyDescent="0.25">
      <c r="A37" s="1"/>
      <c r="B37" s="136" t="s">
        <v>166</v>
      </c>
      <c r="C37" s="137"/>
      <c r="D37" s="137"/>
      <c r="E37" s="137"/>
      <c r="F37" s="138"/>
      <c r="G37" s="76">
        <f>(G35+G36)*'Fane 15. Nøgletal'!C25</f>
        <v>883787.52676233801</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1" t="s">
        <v>221</v>
      </c>
      <c r="C40" s="132"/>
      <c r="D40" s="132"/>
      <c r="E40" s="132"/>
      <c r="F40" s="132"/>
      <c r="G40" s="139"/>
      <c r="H40" s="133"/>
      <c r="I40" s="1"/>
    </row>
    <row r="41" spans="1:9" x14ac:dyDescent="0.25">
      <c r="A41" s="1"/>
      <c r="B41" s="136" t="s">
        <v>77</v>
      </c>
      <c r="C41" s="137"/>
      <c r="D41" s="137"/>
      <c r="E41" s="137"/>
      <c r="F41" s="138"/>
      <c r="G41" s="76">
        <f>(G35+G36-G37)*(1+'Fane 15. Nøgletal'!C14)</f>
        <v>59025730.13660568</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624623.22240912006</v>
      </c>
      <c r="H42" s="14" t="s">
        <v>3</v>
      </c>
      <c r="I42" s="1"/>
    </row>
    <row r="43" spans="1:9" x14ac:dyDescent="0.25">
      <c r="A43" s="1"/>
      <c r="B43" s="136" t="s">
        <v>168</v>
      </c>
      <c r="C43" s="137"/>
      <c r="D43" s="137"/>
      <c r="E43" s="137"/>
      <c r="F43" s="138"/>
      <c r="G43" s="76">
        <f>(G41)*'Fane 15. Nøgletal'!C25+G42*'Fane 15. Nøgletal'!C26</f>
        <v>873580.80602176406</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1" t="s">
        <v>242</v>
      </c>
      <c r="C52" s="132"/>
      <c r="D52" s="132"/>
      <c r="E52" s="132"/>
      <c r="F52" s="132"/>
      <c r="G52" s="139"/>
      <c r="H52" s="133"/>
      <c r="I52" s="1"/>
    </row>
    <row r="53" spans="1:9" x14ac:dyDescent="0.25">
      <c r="A53" s="1"/>
      <c r="B53" s="136" t="s">
        <v>140</v>
      </c>
      <c r="C53" s="137"/>
      <c r="D53" s="137"/>
      <c r="E53" s="137"/>
      <c r="F53" s="138"/>
      <c r="G53" s="76">
        <f>(G41+G42-G43)*(1+'Fane 15. Nøgletal'!C15)</f>
        <v>60869225.655879594</v>
      </c>
      <c r="H53" s="14" t="s">
        <v>3</v>
      </c>
      <c r="I53" s="1"/>
    </row>
    <row r="54" spans="1:9" x14ac:dyDescent="0.25">
      <c r="A54" s="1"/>
      <c r="B54" s="136" t="s">
        <v>141</v>
      </c>
      <c r="C54" s="137"/>
      <c r="D54" s="137"/>
      <c r="E54" s="137"/>
      <c r="F54" s="138"/>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1" t="s">
        <v>153</v>
      </c>
      <c r="C57" s="132"/>
      <c r="D57" s="132"/>
      <c r="E57" s="132"/>
      <c r="F57" s="132"/>
      <c r="G57" s="139"/>
      <c r="H57" s="133"/>
      <c r="I57" s="1"/>
    </row>
    <row r="58" spans="1:9" x14ac:dyDescent="0.25">
      <c r="A58" s="1"/>
      <c r="B58" s="136" t="s">
        <v>173</v>
      </c>
      <c r="C58" s="137"/>
      <c r="D58" s="137"/>
      <c r="E58" s="137"/>
      <c r="F58" s="138"/>
      <c r="G58" s="76">
        <f>(G53-G54)*(1+'Fane 15. Nøgletal'!C15)</f>
        <v>63036170.089228913</v>
      </c>
      <c r="H58" s="14" t="s">
        <v>3</v>
      </c>
      <c r="I58" s="1"/>
    </row>
    <row r="59" spans="1:9" x14ac:dyDescent="0.25">
      <c r="A59" s="1"/>
      <c r="B59" s="136" t="s">
        <v>174</v>
      </c>
      <c r="C59" s="137"/>
      <c r="D59" s="137"/>
      <c r="E59" s="137"/>
      <c r="F59" s="138"/>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1" t="s">
        <v>196</v>
      </c>
      <c r="C62" s="132"/>
      <c r="D62" s="132"/>
      <c r="E62" s="132"/>
      <c r="F62" s="132"/>
      <c r="G62" s="139"/>
      <c r="H62" s="133"/>
      <c r="I62" s="1"/>
    </row>
    <row r="63" spans="1:9" x14ac:dyDescent="0.25">
      <c r="A63" s="1"/>
      <c r="B63" s="136" t="s">
        <v>197</v>
      </c>
      <c r="C63" s="137"/>
      <c r="D63" s="137"/>
      <c r="E63" s="137"/>
      <c r="F63" s="138"/>
      <c r="G63" s="76">
        <f>(G58-G59)*(1+'Fane 15. Nøgletal'!C15)</f>
        <v>65280257.744405471</v>
      </c>
      <c r="H63" s="14" t="s">
        <v>3</v>
      </c>
      <c r="I63" s="1"/>
    </row>
    <row r="64" spans="1:9" x14ac:dyDescent="0.25">
      <c r="A64" s="1"/>
      <c r="B64" s="136" t="s">
        <v>198</v>
      </c>
      <c r="C64" s="137"/>
      <c r="D64" s="137"/>
      <c r="E64" s="137"/>
      <c r="F64" s="138"/>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x/YZiv8pYBWdaRO3t06ewvR47tleCYajVtIJMUUnPp7e+J5eMngOeqAL8tZ/tsj6rN2vZ+a3gMcZ1SzydE6noA==" saltValue="+ny/wVbuxaqu8my1YGwilg=="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election activeCell="D13" sqref="D13"/>
    </sheetView>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3"/>
      <c r="H8" s="1"/>
    </row>
    <row r="9" spans="1:8" x14ac:dyDescent="0.25">
      <c r="A9" s="1"/>
      <c r="B9" s="136" t="s">
        <v>154</v>
      </c>
      <c r="C9" s="137"/>
      <c r="D9" s="137"/>
      <c r="E9" s="137"/>
      <c r="F9" s="138"/>
      <c r="G9" s="35">
        <v>1.62437242027882E-3</v>
      </c>
      <c r="H9" s="1"/>
    </row>
    <row r="10" spans="1:8" x14ac:dyDescent="0.25">
      <c r="A10" s="1"/>
      <c r="B10" s="32"/>
      <c r="C10" s="27"/>
      <c r="D10" s="27"/>
      <c r="E10" s="27"/>
      <c r="F10" s="27"/>
      <c r="G10" s="19"/>
      <c r="H10" s="1"/>
    </row>
    <row r="11" spans="1:8" ht="29.25" customHeight="1" x14ac:dyDescent="0.25">
      <c r="A11" s="1"/>
      <c r="B11" s="148" t="s">
        <v>236</v>
      </c>
      <c r="C11" s="149"/>
      <c r="D11" s="149"/>
      <c r="E11" s="149"/>
      <c r="F11" s="149"/>
      <c r="G11" s="15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kzHv9w7a2EQHgCxvDPtecs5uENGZGYIqSsQtrClFilcwShqlhYKVFjuymyQv3zwY5aDMnCLJB/MalFS/v3y8uw==" saltValue="tYntlbzyd3duk4/k+F2m3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2022-12-01T08:36:39Z</dcterms:modified>
</cp:coreProperties>
</file>