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Spildevand\Bornholms Spildevand AS (S010)\ØR2021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1" sheetId="2" r:id="rId2"/>
    <sheet name="Fane 2.2. Økonomisk ramme 2022" sheetId="15" r:id="rId3"/>
    <sheet name="Fane 2.3. Økonomisk ramme 2023" sheetId="22" r:id="rId4"/>
    <sheet name="Fane 2.4. Økonomisk ramme 2024" sheetId="23" r:id="rId5"/>
    <sheet name="Fane 3. Omkostninger i ØR2020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19" sheetId="32" r:id="rId11"/>
    <sheet name="Fane 8. Korrektion af ØR2019" sheetId="40" r:id="rId12"/>
    <sheet name="Fane 9. Anlægsprojekter" sheetId="11" r:id="rId13"/>
    <sheet name="Fane 10.1. Varige tillæg" sheetId="37" r:id="rId14"/>
    <sheet name="Fane 10.2. Engangstillæg" sheetId="39" r:id="rId15"/>
    <sheet name="Fane 11. Periodevise driftsomk." sheetId="20" r:id="rId16"/>
    <sheet name="Fane 12. Tilknyttet virksomhed" sheetId="29" r:id="rId17"/>
    <sheet name="Fane 13. Bortfald" sheetId="21" r:id="rId18"/>
    <sheet name="Fane 14. Nøgletal" sheetId="26" r:id="rId19"/>
  </sheets>
  <calcPr calcId="162913"/>
</workbook>
</file>

<file path=xl/calcChain.xml><?xml version="1.0" encoding="utf-8"?>
<calcChain xmlns="http://schemas.openxmlformats.org/spreadsheetml/2006/main">
  <c r="E38" i="32" l="1"/>
  <c r="C22" i="26" l="1"/>
  <c r="G11" i="36"/>
  <c r="G13" i="30"/>
  <c r="E16" i="40" l="1"/>
  <c r="E12" i="40"/>
  <c r="C16" i="19" l="1"/>
  <c r="E28" i="32" l="1"/>
  <c r="E32" i="32" s="1"/>
  <c r="C30" i="2" s="1"/>
  <c r="E20" i="32" l="1"/>
  <c r="E12" i="32"/>
  <c r="E16" i="27" l="1"/>
  <c r="E17" i="27" s="1"/>
  <c r="E10" i="11" l="1"/>
  <c r="G8" i="30" l="1"/>
  <c r="E29" i="20" l="1"/>
  <c r="E23" i="20"/>
  <c r="E17" i="20"/>
  <c r="E11" i="20"/>
  <c r="E40" i="32" l="1"/>
  <c r="C26" i="22" l="1"/>
  <c r="C26" i="15"/>
  <c r="E17" i="40" l="1"/>
  <c r="E28" i="20"/>
  <c r="E30" i="20" s="1"/>
  <c r="E22" i="20"/>
  <c r="E16" i="20"/>
  <c r="E10" i="20"/>
  <c r="E24" i="20" l="1"/>
  <c r="C20" i="22" s="1"/>
  <c r="E18" i="20"/>
  <c r="C20" i="15" s="1"/>
  <c r="E12" i="20"/>
  <c r="C24" i="2" s="1"/>
  <c r="C20" i="23"/>
  <c r="C32" i="2" l="1"/>
  <c r="E29" i="21"/>
  <c r="E30" i="21" s="1"/>
  <c r="G48" i="36" s="1"/>
  <c r="C29" i="21"/>
  <c r="C30" i="21" s="1"/>
  <c r="G53" i="30" s="1"/>
  <c r="E23" i="21"/>
  <c r="E24" i="21" s="1"/>
  <c r="G42" i="36" s="1"/>
  <c r="C23" i="21"/>
  <c r="C24" i="21" s="1"/>
  <c r="G45" i="30" s="1"/>
  <c r="E17" i="21"/>
  <c r="E18" i="21" s="1"/>
  <c r="G36" i="36" s="1"/>
  <c r="C17" i="21"/>
  <c r="C18" i="21" s="1"/>
  <c r="G39" i="30" s="1"/>
  <c r="C11" i="15" l="1"/>
  <c r="C10" i="22"/>
  <c r="C11" i="22"/>
  <c r="C10" i="15"/>
  <c r="C10" i="23"/>
  <c r="C11" i="23"/>
  <c r="E35" i="39"/>
  <c r="C35" i="39"/>
  <c r="E27" i="39"/>
  <c r="C27" i="39"/>
  <c r="E19" i="39"/>
  <c r="E21" i="39" s="1"/>
  <c r="C19" i="39"/>
  <c r="C21" i="39" s="1"/>
  <c r="E11" i="39"/>
  <c r="E13" i="39" s="1"/>
  <c r="C11" i="39"/>
  <c r="C13" i="39" s="1"/>
  <c r="E37" i="39" l="1"/>
  <c r="E36" i="39"/>
  <c r="C37" i="39"/>
  <c r="C36" i="39"/>
  <c r="E29" i="39"/>
  <c r="E28" i="39"/>
  <c r="C29" i="39"/>
  <c r="C28" i="39"/>
  <c r="E20" i="39"/>
  <c r="E12" i="39"/>
  <c r="C20" i="39"/>
  <c r="C12" i="39"/>
  <c r="C14" i="39" s="1"/>
  <c r="C30" i="39" l="1"/>
  <c r="C22" i="22" s="1"/>
  <c r="C38" i="39"/>
  <c r="C22" i="23" s="1"/>
  <c r="E30" i="39"/>
  <c r="C23" i="22" s="1"/>
  <c r="E38" i="39"/>
  <c r="C23" i="23" s="1"/>
  <c r="E22" i="39"/>
  <c r="C23" i="15" s="1"/>
  <c r="C22" i="39"/>
  <c r="C22" i="15" s="1"/>
  <c r="E14" i="39"/>
  <c r="C27" i="2" s="1"/>
  <c r="C26" i="2"/>
  <c r="C24" i="23" l="1"/>
  <c r="C24" i="22"/>
  <c r="C24" i="15"/>
  <c r="C28" i="2"/>
  <c r="G6" i="36" l="1"/>
  <c r="G10" i="36" l="1"/>
  <c r="G13" i="36" l="1"/>
  <c r="G12" i="30"/>
  <c r="G17" i="36" l="1"/>
  <c r="G19" i="36" s="1"/>
  <c r="G16" i="30"/>
  <c r="G20" i="30" s="1"/>
  <c r="G23" i="36" l="1"/>
  <c r="G25" i="36" s="1"/>
  <c r="G22" i="30"/>
  <c r="G29" i="36" l="1"/>
  <c r="E19" i="27"/>
  <c r="G26" i="30"/>
  <c r="F11" i="11" l="1"/>
  <c r="C10" i="37" s="1"/>
  <c r="C12" i="37" s="1"/>
  <c r="G11" i="11"/>
  <c r="C13" i="37" l="1"/>
  <c r="C10" i="2" s="1"/>
  <c r="E11" i="21"/>
  <c r="E12" i="21" s="1"/>
  <c r="C11" i="21"/>
  <c r="C12" i="21" s="1"/>
  <c r="E11" i="29"/>
  <c r="E12" i="29" s="1"/>
  <c r="C11" i="29"/>
  <c r="C12" i="29" s="1"/>
  <c r="C17" i="19"/>
  <c r="C18" i="23" l="1"/>
  <c r="C18" i="15"/>
  <c r="C18" i="22"/>
  <c r="C15" i="2"/>
  <c r="C14" i="2"/>
  <c r="C22" i="2"/>
  <c r="C12" i="2"/>
  <c r="G33" i="30" s="1"/>
  <c r="C13" i="2"/>
  <c r="G28" i="30" l="1"/>
  <c r="E18" i="27" s="1"/>
  <c r="E20" i="27" s="1"/>
  <c r="E35" i="27" s="1"/>
  <c r="C9" i="2" l="1"/>
  <c r="G32" i="30"/>
  <c r="E11" i="11"/>
  <c r="E10" i="37" s="1"/>
  <c r="E12" i="37" s="1"/>
  <c r="E13" i="37" l="1"/>
  <c r="C11" i="2" s="1"/>
  <c r="G34" i="30"/>
  <c r="G38" i="30" l="1"/>
  <c r="G40" i="30" s="1"/>
  <c r="C18" i="2"/>
  <c r="C16" i="2"/>
  <c r="C17" i="2" s="1"/>
  <c r="G30" i="36"/>
  <c r="G31" i="36" l="1"/>
  <c r="C19" i="2" s="1"/>
  <c r="C20" i="2" s="1"/>
  <c r="C33" i="2" s="1"/>
  <c r="G44" i="30"/>
  <c r="C14" i="15"/>
  <c r="G35" i="36" l="1"/>
  <c r="C9" i="15"/>
  <c r="C12" i="15" s="1"/>
  <c r="G46" i="30"/>
  <c r="G52" i="30" l="1"/>
  <c r="G54" i="30" s="1"/>
  <c r="C14" i="23" s="1"/>
  <c r="C14" i="22"/>
  <c r="G37" i="36"/>
  <c r="C13" i="15"/>
  <c r="G41" i="36" l="1"/>
  <c r="G43" i="36" s="1"/>
  <c r="C15" i="15"/>
  <c r="C16" i="15" s="1"/>
  <c r="G47" i="36" l="1"/>
  <c r="G49" i="36" s="1"/>
  <c r="C15" i="23" s="1"/>
  <c r="C15" i="22"/>
  <c r="C27" i="15"/>
  <c r="C9" i="22"/>
  <c r="C12" i="22" s="1"/>
  <c r="C13" i="22" l="1"/>
  <c r="C16" i="22" l="1"/>
  <c r="C27" i="22" s="1"/>
  <c r="C9" i="23" l="1"/>
  <c r="C12" i="23" s="1"/>
  <c r="C13" i="23" l="1"/>
  <c r="C16" i="23" s="1"/>
  <c r="C25" i="23" s="1"/>
</calcChain>
</file>

<file path=xl/sharedStrings.xml><?xml version="1.0" encoding="utf-8"?>
<sst xmlns="http://schemas.openxmlformats.org/spreadsheetml/2006/main" count="691" uniqueCount="278">
  <si>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</si>
  <si>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</si>
  <si>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</si>
  <si>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</si>
  <si>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</si>
  <si>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</si>
  <si>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</si>
  <si>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</si>
  <si>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</si>
  <si>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Fane 9</t>
  </si>
  <si>
    <t>Individuelt effektiviseringskrav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</si>
  <si>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</si>
  <si>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</si>
  <si>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</si>
  <si>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</si>
  <si>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</si>
  <si>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12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</si>
  <si>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</si>
  <si>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</si>
  <si>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</si>
  <si>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</si>
  <si>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</si>
  <si>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</si>
  <si>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</si>
  <si>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ØR2019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</si>
  <si>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</si>
  <si>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</si>
  <si>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</si>
  <si>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</si>
  <si>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</si>
  <si>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</si>
  <si>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</si>
  <si>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</si>
  <si>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Tidligere tilknyttet aktivitet - Anlæg</t>
  </si>
  <si>
    <t>Tidligere tilknyttet aktivitet - Drift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</si>
  <si>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</si>
  <si>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</si>
  <si>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</si>
  <si>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</si>
  <si>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</si>
  <si>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</si>
  <si>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Fane 2.3</t>
  </si>
  <si>
    <t>Fane 2.4</t>
  </si>
  <si>
    <t>Samlet økonomisk ramme for 2021</t>
  </si>
  <si>
    <t>Anlægsprojekter</t>
  </si>
  <si>
    <t>Bortfald</t>
  </si>
  <si>
    <t>Fane 13</t>
  </si>
  <si>
    <t>Fane 14</t>
  </si>
  <si>
    <t>Nye tillæg - Drift</t>
  </si>
  <si>
    <t>Nye tillæg - Anlæg</t>
  </si>
  <si>
    <t>Nye tillæg i alt i 2019-prisniveau</t>
  </si>
  <si>
    <t>Bortfald eller nedsættelse i alt i 2019-prisniveau</t>
  </si>
  <si>
    <t>Kontrol med overholdelse af den økonomiske ramme for 2018</t>
  </si>
  <si>
    <t>Indtægtsramme i den økonomiske ramme for 2018</t>
  </si>
  <si>
    <t>Faktiske indtægter i 2018</t>
  </si>
  <si>
    <t>Difference (2018-prisniveau)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</si>
  <si>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</si>
  <si>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</si>
  <si>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</si>
  <si>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</si>
  <si>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</si>
  <si>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</si>
  <si>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</si>
  <si>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</si>
  <si>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</si>
  <si>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</si>
  <si>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</si>
  <si>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</si>
  <si>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</si>
  <si>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</si>
  <si>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</si>
  <si>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</si>
  <si>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</si>
  <si>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Generelt effektiviseringskrav til driftsomkostninger i de økonomiske rammer for 2021</t>
  </si>
  <si>
    <t>Base for driftsomkostninger til de økonomiske rammer for 2021</t>
  </si>
  <si>
    <t>Generelt effektiviseringskrav til driftsomkostningerne i ØR21</t>
  </si>
  <si>
    <t>Vejledende generelt effektiviseringskrav til driftsomkostningerne i ØR22</t>
  </si>
  <si>
    <t>Vejledende generelt effektiviseringskrav til driftsomkostningerne i ØR23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</si>
  <si>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</si>
  <si>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</si>
  <si>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</si>
  <si>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</si>
  <si>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</si>
  <si>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</si>
  <si>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</si>
  <si>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</si>
  <si>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</si>
  <si>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</si>
  <si>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</si>
  <si>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</si>
  <si>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</si>
  <si>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Generelt effektiviseringskrav til anlægsomkostninger i de økonomiske rammer for 2021</t>
  </si>
  <si>
    <t>Base for anlægsomkostninger til de økonomiske rammer for 2021</t>
  </si>
  <si>
    <t>Generelt effektiviseringskrav til anlægsomkostningerne i ØR21</t>
  </si>
  <si>
    <t>Vejledende generelt effektiviseringskrav til anlægsomkostningerne i ØR22</t>
  </si>
  <si>
    <t>Vejledende generelt effektiviseringskrav til anlægsomkostningerne i ØR23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</si>
  <si>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</si>
  <si>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</si>
  <si>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</si>
  <si>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</si>
  <si>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driftsomkostninger i de vejledende økonomiske rammer for 2022</t>
  </si>
  <si>
    <t>Generelt effektiviseringskrav til driftsomkostninger i de vejledende økonomiske rammer for 2023</t>
  </si>
  <si>
    <t>Generelt effektiviseringskrav til anlægsomkostninger i de vejledende økonomiske rammer for 2022</t>
  </si>
  <si>
    <t>Generelt effektiviseringskrav til anlægsomkostninger i de vejledende økonomiske rammer for 2023</t>
  </si>
  <si>
    <t>Individuelt effektiviseringskrav til de økonomiske rammer for 2017</t>
  </si>
  <si>
    <t>Individuelt effektiviseringskrav til de økonomiske rammer for 2018-2019</t>
  </si>
  <si>
    <t>Individuelt effektiviseringskrav til de økonomiske rammer for 2020-2021</t>
  </si>
  <si>
    <t>Vejledende økonomisk ramme for 2023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</si>
  <si>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</si>
  <si>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</si>
  <si>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</si>
  <si>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</si>
  <si>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</si>
  <si>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</si>
  <si>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Periodevise driftsomkostninger</t>
  </si>
  <si>
    <t>Engangstillæg i alt</t>
  </si>
  <si>
    <t>Fane 5: Individuelt effektiviseringskrav</t>
  </si>
  <si>
    <t>Bortfald af driftsomkostninger i de økonomiske rammer for 2022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</si>
  <si>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</si>
  <si>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</si>
  <si>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</si>
  <si>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</si>
  <si>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2022</t>
  </si>
  <si>
    <t>Bortfald af anlægsomkostninger i de økonomiske rammer for 2023</t>
  </si>
  <si>
    <t>Økonomisk ramme for 2023</t>
  </si>
  <si>
    <t>Periodevise driftsomkostninger til de økonomiske rammer for 2021</t>
  </si>
  <si>
    <t>Periodevise driftsomkostninger til de økonomiske rammer for 2022</t>
  </si>
  <si>
    <t>Periodevise driftsomkostninger til de økonomiske rammer for 2023</t>
  </si>
  <si>
    <t>Periodevise driftsomkostninger i alt i 2021-prisniveau</t>
  </si>
  <si>
    <t>Periodevise driftsomkostninger i alt i 2022-prisniveau</t>
  </si>
  <si>
    <t>Periodevise driftsomkostninger i alt i 2023-prisniveau</t>
  </si>
  <si>
    <t>Bortfald eller nedsættelse fra og med de økonomiske rammer for 2022</t>
  </si>
  <si>
    <t>Bortfald eller nedsættelse fra og med de økonomiske rammer for 2021</t>
  </si>
  <si>
    <t>Bortfald eller nedsættelse fra og med de økonomiske rammer for 2023</t>
  </si>
  <si>
    <t>Korrektion af tidligere godkendte omkostninger til medfinansiering af klimatilpasningsprojekter</t>
  </si>
  <si>
    <t>Generelt effektiviseringskrav på drift</t>
  </si>
  <si>
    <t>Generelt effektiviseringskrav på anlæg</t>
  </si>
  <si>
    <t>Kontrol med overholdelse af den økonomiske ramme for 2017</t>
  </si>
  <si>
    <t>Indtægtsramme i den økonomiske ramme for 2017</t>
  </si>
  <si>
    <t>Faktiske indtægter i 2017</t>
  </si>
  <si>
    <t>Difference (2017-prisniveau)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</si>
  <si>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</si>
  <si>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</si>
  <si>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</si>
  <si>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2021-prisniveau</t>
  </si>
  <si>
    <t>Generelt effektiviseringskrav</t>
  </si>
  <si>
    <t>Tillæg til tilbagebetaling af vejbidrag</t>
  </si>
  <si>
    <t>Tillæg til den økonomiske ramme for 2021</t>
  </si>
  <si>
    <t>Tillæg til den økonomiske ramme for 2022</t>
  </si>
  <si>
    <t>Tillæg til den økonomiske ramme for 2023</t>
  </si>
  <si>
    <t>Samlede tillæg til periodevise driftsomkostninger jf. indmeldte oprensningsplan</t>
  </si>
  <si>
    <t>Difference (Korrektion)</t>
  </si>
  <si>
    <t>Antal år i næste reguleringsperiode</t>
  </si>
  <si>
    <t>Generelt effektiviseringskrav til anlægsomkostningerne</t>
  </si>
  <si>
    <t>Generelt effektiviseringskrav til driftsomkostningerne</t>
  </si>
  <si>
    <t>Nøgletal</t>
  </si>
  <si>
    <t xml:space="preserve">Note: Denne opgørelse er taget fra jeres statusmeddelelse for den økonomiske ramme for 2019. I kan derfor ikke komme med høringssvar til denne opgørelse. </t>
  </si>
  <si>
    <t>Fane 4.1</t>
  </si>
  <si>
    <t>Fane 4.2</t>
  </si>
  <si>
    <t>Fane 6</t>
  </si>
  <si>
    <t>Fane 10.1</t>
  </si>
  <si>
    <t>Fane 10.2</t>
  </si>
  <si>
    <t>Fane 11</t>
  </si>
  <si>
    <t>Fane 4.1: Generelt effektiviseringskrav til driftsomkostningerne</t>
  </si>
  <si>
    <t>Fane 4.2: Generelt effektiviseringskrav til anlægsomkostningerne</t>
  </si>
  <si>
    <t>Fane 6: Ikke-påvirkelige omkostninger</t>
  </si>
  <si>
    <t>Fane 13: Bortfald eller nedsættelse af omkostninger til mål, medfinansiering eller udvidelse</t>
  </si>
  <si>
    <t>Fane 10.2: Engangstillæg</t>
  </si>
  <si>
    <t>Fane 10.1: Varige tillæg</t>
  </si>
  <si>
    <t>Fane 11: Periodevise driftsomkostninger givet under prisloftsbekendtgørelsen</t>
  </si>
  <si>
    <t>Prisudvikling til brug for ØR2017</t>
  </si>
  <si>
    <t>Prisudvikling til brug for ØR2018-2019</t>
  </si>
  <si>
    <t>Prisudvikling til brug for ØR2020-2021</t>
  </si>
  <si>
    <t>Generelt effektiviseringskrav til brug for anlægsomkostninger i ØR2017</t>
  </si>
  <si>
    <t>Generelt effektiviseringskrav til brug for anlægsomkostninger i ØR2018-2019</t>
  </si>
  <si>
    <t>Generelt effektiviseringskrav til brug for nye anlægsomkostninger i ØR2019</t>
  </si>
  <si>
    <t>Generelt effektiviseringskrav til brug for anlægsomkostninger i ØR2020-2021</t>
  </si>
  <si>
    <t>Generelt effektiviseringskrav til brug for driftsomkostninger</t>
  </si>
  <si>
    <t>Tillæg til medfinansieringsprojekter godkendt under prisloftsbekendtgørelsen</t>
  </si>
  <si>
    <t>Periodevise driftsomkostninger i den økonomiske ramme for 2018</t>
  </si>
  <si>
    <t>Fane 3</t>
  </si>
  <si>
    <t>Periodevise driftsomkostninger i den økonomiske ramme for 2017</t>
  </si>
  <si>
    <t>Korrektion af driftsomkostninger i grundlaget</t>
  </si>
  <si>
    <t>Korrektion af anlægsomkostninger i grundlaget</t>
  </si>
  <si>
    <t>Korrektion af den økonomiske ramme for 2019</t>
  </si>
  <si>
    <t>Fane 2.1: Samlet økonomisk ramme for 2021</t>
  </si>
  <si>
    <t>Tidligere tilknyttet virksomhed - Drift</t>
  </si>
  <si>
    <t>Tidligere tilknyttet virksomhed - Anlæg</t>
  </si>
  <si>
    <t>Fane 2.2: Samlet økonomisk ramme for 2022</t>
  </si>
  <si>
    <t>Fane 2.3: Samlet økonomisk ramme for 2023</t>
  </si>
  <si>
    <t>Videreførte omkostninger fra den økonomiske ramme for 2022</t>
  </si>
  <si>
    <t>Fane 2.4: Samlet økonomisk ramme for 2024</t>
  </si>
  <si>
    <t>Videreførte omkostninger fra den økonomiske ramme for 2023</t>
  </si>
  <si>
    <t>Økonomisk ramme for 2024</t>
  </si>
  <si>
    <t>Fane 3: Videreførte omkostninger fra den økonomiske ramme for 2020</t>
  </si>
  <si>
    <t>Oversigt over den økonomiske ramme for 2020</t>
  </si>
  <si>
    <t>Faktiske ikke-påvirkelige omkostninger i 2019</t>
  </si>
  <si>
    <t>Faktiske omkostninger i 2019</t>
  </si>
  <si>
    <t>Ikke-påvirkelige omkostninger i 2019-prisniveau</t>
  </si>
  <si>
    <t>Ikke-påvirkelige omkostninger i 2021-prisniveau</t>
  </si>
  <si>
    <t>Tillæg til den økonomiske ramme for 2024</t>
  </si>
  <si>
    <t>Fane 8: Korrektioner af den økonomiske ramme for 2019</t>
  </si>
  <si>
    <t>Korrektion af periodevise driftsomkostninger i de økonomiske rammer for 2019</t>
  </si>
  <si>
    <t>Faktisk periodevis driftsomkostning i 2019</t>
  </si>
  <si>
    <t>Tidligere godkendt tillæg indregnet i den økonomiske ramme for 2019</t>
  </si>
  <si>
    <t>Faktisk omkostning til medfinansiering af klimatilpasningsprojekter i 2019</t>
  </si>
  <si>
    <t>Korrektioner af den økonomiske ramme for 2019 i alt</t>
  </si>
  <si>
    <t>Periodevise driftsomkostninger i alt i 2019-prisniveau</t>
  </si>
  <si>
    <t>Periodevise driftsomkostninger til de økonomiske rammer for 2024</t>
  </si>
  <si>
    <t>Periodevise driftsomkostninger i alt i 2024-prisniveau</t>
  </si>
  <si>
    <t>Fane 12: Tilknyttet virksomhed under hovedvirksomheden</t>
  </si>
  <si>
    <t>Tilknyttet virksomhed under hovedvirksomheden</t>
  </si>
  <si>
    <t>Beskrivelse af tilknyttet virksomhed</t>
  </si>
  <si>
    <t>Tilknyttet virksomhed under hovedvirksomheden i alt (2019-prisniveau)</t>
  </si>
  <si>
    <t>Vejledende økonomisk ramme for 2024</t>
  </si>
  <si>
    <t>Omkostninger i ØR2020</t>
  </si>
  <si>
    <t>Tilknyttet virksomhed</t>
  </si>
  <si>
    <t>Prisudvikling til brug for nye omkostninger i ØR2021</t>
  </si>
  <si>
    <t xml:space="preserve">Note: Denne opgørelse er taget fra jeres statusmeddelelse for den økonomiske ramme for 2020. I kan derfor ikke komme med høringssvar til denne opgørelse. </t>
  </si>
  <si>
    <t>Nye tillæg i alt i 2020-prisniveau</t>
  </si>
  <si>
    <t>Engangstillæg i alt i 2019-prisniveau</t>
  </si>
  <si>
    <t>Engangstillæg i alt i 2022-prisniveau</t>
  </si>
  <si>
    <t>Engangstillæg i alt i 2023-prisniveau</t>
  </si>
  <si>
    <t>Engangstillæg til de økonomiske rammer for 2024</t>
  </si>
  <si>
    <t>Engangstillæg i alt i 2024-prisniveau</t>
  </si>
  <si>
    <t>Tilknyttet virksomhed under hovedvirksomheden i alt (2020-prisniveau)</t>
  </si>
  <si>
    <t>Til statusmeddelelse for 2021</t>
  </si>
  <si>
    <t>Bortfald eller nedsættelse fra og med de økonomiske rammer for 2024</t>
  </si>
  <si>
    <t>Bortfald eller nedsættelse i alt i 2023-prisniveau</t>
  </si>
  <si>
    <t>Generelt effektiviseringskrav til brug for anlægsomkostninger i ØR2021-2022</t>
  </si>
  <si>
    <t>Nye driftsomkostninger til de økonomiske rammer for 2021</t>
  </si>
  <si>
    <t>Generelt effektiviseringskrav til driftsomkostninger i de vejledende økonomiske rammer for 2024</t>
  </si>
  <si>
    <t>Base for driftsomkostninger til de vejledende økonomiske rammer for 2024</t>
  </si>
  <si>
    <t>Bortfald af driftsomkostninger i de økonomiske rammer for 2024</t>
  </si>
  <si>
    <t>Vejledende generelt effektiviseringskrav til driftsomkostningerne i ØR24</t>
  </si>
  <si>
    <t>Nye anlægsomkostninger til de økonomiske rammer for 2021</t>
  </si>
  <si>
    <t>Fane 9: Anlægsprojekter igangsat senest den 1. marts 2016</t>
  </si>
  <si>
    <t>Anlægsprojekter igangsat senest den 1. marts 2016</t>
  </si>
  <si>
    <t>Anlægsprojekter igangsat senest den 1. marts 2016 i alt</t>
  </si>
  <si>
    <t>Anlægsprojekter igangsat senest 1. marts 2016</t>
  </si>
  <si>
    <t>Generelt effektiviseringskrav til anlægsomkostninger i de vejledende økonomiske rammer for 2024</t>
  </si>
  <si>
    <t>Base for anlægsomkostninger til de vejledende økonomiske rammer for 2024</t>
  </si>
  <si>
    <t>Bortfald af anlægsomkostninger i de økonomiske rammer for 2024</t>
  </si>
  <si>
    <t>Vejledende generelt effektiviseringskrav til anlægsomkostningerne i ØR24</t>
  </si>
  <si>
    <t>Fradrag for kontrol af den økonomiske ramme</t>
  </si>
  <si>
    <t>Kontrol med overholdelse af den økonomiske ramme for 2019</t>
  </si>
  <si>
    <t>Indtægtsramme i den økonomiske ramme for 2019</t>
  </si>
  <si>
    <t>Faktiske indtægter i 2019</t>
  </si>
  <si>
    <t>Difference (2019-prisniveau)</t>
  </si>
  <si>
    <t>Til indregning i de økonomiske rammer for 2022-2023</t>
  </si>
  <si>
    <t>Til indregning i den økonomiske ramme for 2021</t>
  </si>
  <si>
    <t>Tillæg/fradrag i den økonomiske ramme for 2021</t>
  </si>
  <si>
    <t>Kontrol med overholdelse af økonomiske rammer</t>
  </si>
  <si>
    <t>Kontrol med de økonomiske rammer til indregning</t>
  </si>
  <si>
    <t>Vejledendeøkonomisk ramme for 2022</t>
  </si>
  <si>
    <t>Kontrol af den økonomiske ramme for 2019</t>
  </si>
  <si>
    <t>Fane 7: Kontrol med overholdelse af den økonomiske ramme for 2019</t>
  </si>
  <si>
    <t>Fane 14: Nøgletal</t>
  </si>
  <si>
    <t xml:space="preserve">Note: Beregningerne af jeres individuelle effektiviseringskrav er taget fra jeres afgørelse til den økonomiske ramme for henholdsvis 2017, 2018-2019 og 2020-21. I kan derfor ikke komme med høringssvar til denne opgørelse. </t>
  </si>
  <si>
    <t>Historisk over- eller underdækning</t>
  </si>
  <si>
    <t>Tillæg/fradrag for historisk over- eller underdækning</t>
  </si>
  <si>
    <t>Kontrol med overholdelse af indtægtsrammer</t>
  </si>
  <si>
    <t>Fradrag for kontrol af den økonomiske ramme for 2018</t>
  </si>
  <si>
    <t>Korrektion af den økonomiske ramme for 2018</t>
  </si>
  <si>
    <t>Tillæg/fradrag for korrektion af den økonomiske ramme for 2018</t>
  </si>
  <si>
    <t>Spildevandsafgift</t>
  </si>
  <si>
    <t>Afgift til Forsyningssekretariatet</t>
  </si>
  <si>
    <t>Køb af ydelser og produkter fra andre vandselskaber reguleret af vandsektorloven</t>
  </si>
  <si>
    <t>Ejendomsskatter</t>
  </si>
  <si>
    <t>Tjenestemandspensioner</t>
  </si>
  <si>
    <t>Erstatninger</t>
  </si>
  <si>
    <t>Ingen tilknyttet virksomhed</t>
  </si>
  <si>
    <t>Ingen bortfald eller nedsættelse</t>
  </si>
  <si>
    <t>Nye forsyningsområder</t>
  </si>
  <si>
    <t>Ingen engangstillæg</t>
  </si>
  <si>
    <t>Ingen anlægsprojekter</t>
  </si>
  <si>
    <t>Yderligere opkrævningsret efter § 17, stk. 10 - 2017</t>
  </si>
  <si>
    <t>Yderligere opkrævningsret efter § 17, stk. 10 - 2018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</si>
</sst>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_ * #,##0_ ;_ * \-#,##0_ ;_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164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0" fontId="8" fillId="8" borderId="1" xfId="0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10" fontId="8" fillId="8" borderId="1" xfId="4" applyNumberFormat="1" applyFont="1" applyFill="1" applyBorder="1" applyProtection="1"/>
    <xf numFmtId="165" fontId="8" fillId="8" borderId="1" xfId="1" applyNumberFormat="1" applyFont="1" applyFill="1" applyBorder="1" applyProtection="1"/>
    <xf numFmtId="49" fontId="8" fillId="8" borderId="2" xfId="0" applyNumberFormat="1" applyFont="1" applyFill="1" applyBorder="1" applyAlignment="1" applyProtection="1"/>
    <xf numFmtId="10" fontId="8" fillId="8" borderId="1" xfId="4" applyNumberFormat="1" applyFont="1" applyFill="1" applyBorder="1" applyAlignment="1" applyProtection="1"/>
    <xf numFmtId="0" fontId="15" fillId="0" borderId="2" xfId="0" applyFont="1" applyFill="1" applyBorder="1" applyAlignment="1" applyProtection="1"/>
    <xf numFmtId="3" fontId="15" fillId="0" borderId="1" xfId="0" applyNumberFormat="1" applyFont="1" applyFill="1" applyBorder="1" applyProtection="1"/>
    <xf numFmtId="0" fontId="15" fillId="0" borderId="1" xfId="0" applyFont="1" applyFill="1" applyBorder="1" applyProtection="1"/>
    <xf numFmtId="0" fontId="8" fillId="8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8" borderId="2" xfId="0" applyFont="1" applyFill="1" applyBorder="1" applyAlignment="1" applyProtection="1">
      <alignment wrapText="1"/>
    </xf>
    <xf numFmtId="3" fontId="7" fillId="3" borderId="2" xfId="0" applyNumberFormat="1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8" fillId="8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0" fontId="0" fillId="0" borderId="0" xfId="0" applyFill="1" applyProtection="1"/>
    <xf numFmtId="0" fontId="2" fillId="2" borderId="0" xfId="0" applyFont="1" applyFill="1" applyAlignment="1" applyProtection="1">
      <alignment vertical="center" wrapText="1"/>
    </xf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3" fontId="8" fillId="4" borderId="2" xfId="0" applyNumberFormat="1" applyFont="1" applyFill="1" applyBorder="1" applyProtection="1"/>
    <xf numFmtId="0" fontId="14" fillId="2" borderId="0" xfId="0" applyFont="1" applyFill="1" applyAlignment="1" applyProtection="1">
      <alignment horizontal="center"/>
    </xf>
    <xf numFmtId="0" fontId="8" fillId="8" borderId="2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8" fillId="4" borderId="3" xfId="0" applyFont="1" applyFill="1" applyBorder="1" applyAlignment="1" applyProtection="1">
      <alignment horizontal="left" wrapText="1"/>
    </xf>
    <xf numFmtId="0" fontId="8" fillId="8" borderId="2" xfId="0" applyFont="1" applyFill="1" applyBorder="1" applyAlignment="1" applyProtection="1"/>
    <xf numFmtId="0" fontId="8" fillId="4" borderId="3" xfId="0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2" fillId="6" borderId="4" xfId="2" applyFont="1" applyFill="1" applyBorder="1" applyAlignment="1" applyProtection="1">
      <alignment horizontal="center"/>
    </xf>
    <xf numFmtId="0" fontId="12" fillId="6" borderId="0" xfId="2" applyFont="1" applyFill="1" applyBorder="1" applyAlignment="1" applyProtection="1">
      <alignment horizontal="center"/>
    </xf>
    <xf numFmtId="0" fontId="12" fillId="6" borderId="5" xfId="2" applyFont="1" applyFill="1" applyBorder="1" applyAlignment="1" applyProtection="1">
      <alignment horizontal="center"/>
    </xf>
    <xf numFmtId="0" fontId="1" fillId="7" borderId="4" xfId="2" applyFont="1" applyFill="1" applyBorder="1" applyAlignment="1" applyProtection="1">
      <alignment horizontal="center"/>
    </xf>
    <xf numFmtId="0" fontId="1" fillId="7" borderId="0" xfId="2" applyFont="1" applyFill="1" applyBorder="1" applyAlignment="1" applyProtection="1">
      <alignment horizontal="center"/>
    </xf>
    <xf numFmtId="0" fontId="1" fillId="7" borderId="5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1" fillId="9" borderId="4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5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8" fillId="8" borderId="2" xfId="0" applyFont="1" applyFill="1" applyBorder="1" applyAlignment="1" applyProtection="1">
      <alignment horizontal="left" wrapText="1"/>
    </xf>
    <xf numFmtId="0" fontId="8" fillId="8" borderId="6" xfId="0" applyFont="1" applyFill="1" applyBorder="1" applyAlignment="1" applyProtection="1">
      <alignment horizontal="left" wrapText="1"/>
    </xf>
    <xf numFmtId="0" fontId="8" fillId="8" borderId="3" xfId="0" applyFont="1" applyFill="1" applyBorder="1" applyAlignment="1" applyProtection="1">
      <alignment horizontal="left" wrapText="1"/>
    </xf>
    <xf numFmtId="0" fontId="8" fillId="8" borderId="2" xfId="0" quotePrefix="1" applyFont="1" applyFill="1" applyBorder="1" applyAlignment="1" applyProtection="1">
      <alignment horizontal="left" wrapText="1"/>
    </xf>
    <xf numFmtId="0" fontId="8" fillId="8" borderId="6" xfId="0" quotePrefix="1" applyFont="1" applyFill="1" applyBorder="1" applyAlignment="1" applyProtection="1">
      <alignment horizontal="left" wrapText="1"/>
    </xf>
    <xf numFmtId="0" fontId="8" fillId="8" borderId="3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8" borderId="6" xfId="0" applyFont="1" applyFill="1" applyBorder="1" applyAlignment="1" applyProtection="1"/>
    <xf numFmtId="0" fontId="8" fillId="8" borderId="3" xfId="0" applyFont="1" applyFill="1" applyBorder="1" applyAlignment="1" applyProtection="1"/>
    <xf numFmtId="0" fontId="2" fillId="2" borderId="0" xfId="0" applyFont="1" applyFill="1" applyAlignment="1" applyProtection="1">
      <alignment horizontal="center" wrapText="1"/>
    </xf>
    <xf numFmtId="0" fontId="2" fillId="2" borderId="7" xfId="0" applyFont="1" applyFill="1" applyBorder="1" applyAlignment="1" applyProtection="1">
      <alignment horizontal="center" wrapText="1"/>
    </xf>
    <xf numFmtId="0" fontId="0" fillId="2" borderId="0" xfId="0" applyFill="1" applyAlignment="1" applyProtection="1">
      <alignment horizontal="center" wrapText="1"/>
    </xf>
    <xf numFmtId="0" fontId="8" fillId="4" borderId="3" xfId="0" applyFont="1" applyFill="1" applyBorder="1" applyAlignment="1" applyProtection="1">
      <alignment horizontal="left"/>
    </xf>
    <xf numFmtId="0" fontId="8" fillId="8" borderId="2" xfId="0" quotePrefix="1" applyFont="1" applyFill="1" applyBorder="1" applyAlignment="1" applyProtection="1">
      <alignment horizontal="left"/>
    </xf>
    <xf numFmtId="0" fontId="8" fillId="8" borderId="6" xfId="0" quotePrefix="1" applyFont="1" applyFill="1" applyBorder="1" applyAlignment="1" applyProtection="1">
      <alignment horizontal="left"/>
    </xf>
    <xf numFmtId="0" fontId="8" fillId="8" borderId="3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4" borderId="1" xfId="0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49" fontId="8" fillId="8" borderId="6" xfId="0" applyNumberFormat="1" applyFont="1" applyFill="1" applyBorder="1" applyAlignment="1" applyProtection="1">
      <alignment horizontal="left" wrapText="1"/>
    </xf>
    <xf numFmtId="49" fontId="8" fillId="8" borderId="3" xfId="0" applyNumberFormat="1" applyFont="1" applyFill="1" applyBorder="1" applyAlignment="1" applyProtection="1">
      <alignment horizontal="left" wrapText="1"/>
    </xf>
    <xf numFmtId="0" fontId="8" fillId="8" borderId="1" xfId="1" applyNumberFormat="1" applyFont="1" applyFill="1" applyBorder="1" applyProtection="1"/>
    <xf numFmtId="1" fontId="8" fillId="0" borderId="1" xfId="0" applyNumberFormat="1" applyFont="1" applyFill="1" applyBorder="1" applyProtection="1"/>
    <xf numFmtId="49" fontId="8" fillId="8" borderId="2" xfId="0" applyNumberFormat="1" applyFont="1" applyFill="1" applyBorder="1" applyAlignment="1" applyProtection="1">
      <alignment horizontal="left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60" t="s">
        <v>4</v>
      </c>
      <c r="E6" s="60"/>
      <c r="F6" s="60"/>
      <c r="G6" s="60"/>
      <c r="H6" s="3"/>
      <c r="I6" s="1"/>
    </row>
    <row r="7" spans="1:9" ht="15" customHeight="1" x14ac:dyDescent="0.25">
      <c r="A7" s="1"/>
      <c r="B7" s="1"/>
      <c r="C7" s="3"/>
      <c r="D7" s="60"/>
      <c r="E7" s="60"/>
      <c r="F7" s="60"/>
      <c r="G7" s="60"/>
      <c r="H7" s="3"/>
      <c r="I7" s="1"/>
    </row>
    <row r="8" spans="1:9" ht="15.75" x14ac:dyDescent="0.25">
      <c r="A8" s="1"/>
      <c r="B8" s="1"/>
      <c r="C8" s="4"/>
      <c r="D8" s="68" t="s">
        <v>226</v>
      </c>
      <c r="E8" s="68"/>
      <c r="F8" s="68"/>
      <c r="G8" s="68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67" t="s">
        <v>5</v>
      </c>
      <c r="E11" s="67"/>
      <c r="F11" s="67"/>
      <c r="G11" s="67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57" t="s">
        <v>43</v>
      </c>
      <c r="E13" s="58"/>
      <c r="F13" s="58"/>
      <c r="G13" s="59"/>
      <c r="H13" s="1"/>
      <c r="I13" s="1"/>
    </row>
    <row r="14" spans="1:9" x14ac:dyDescent="0.25">
      <c r="A14" s="1"/>
      <c r="B14" s="1"/>
      <c r="C14" s="6" t="s">
        <v>17</v>
      </c>
      <c r="D14" s="57" t="s">
        <v>254</v>
      </c>
      <c r="E14" s="58"/>
      <c r="F14" s="58"/>
      <c r="G14" s="59"/>
      <c r="H14" s="1"/>
      <c r="I14" s="1"/>
    </row>
    <row r="15" spans="1:9" x14ac:dyDescent="0.25">
      <c r="A15" s="1"/>
      <c r="B15" s="1"/>
      <c r="C15" s="6" t="s">
        <v>41</v>
      </c>
      <c r="D15" s="57" t="s">
        <v>107</v>
      </c>
      <c r="E15" s="58"/>
      <c r="F15" s="58"/>
      <c r="G15" s="59"/>
      <c r="H15" s="1"/>
      <c r="I15" s="1"/>
    </row>
    <row r="16" spans="1:9" x14ac:dyDescent="0.25">
      <c r="A16" s="1"/>
      <c r="B16" s="1"/>
      <c r="C16" s="6" t="s">
        <v>42</v>
      </c>
      <c r="D16" s="57" t="s">
        <v>214</v>
      </c>
      <c r="E16" s="58"/>
      <c r="F16" s="58"/>
      <c r="G16" s="59"/>
      <c r="H16" s="1"/>
      <c r="I16" s="1"/>
    </row>
    <row r="17" spans="1:9" x14ac:dyDescent="0.25">
      <c r="A17" s="1"/>
      <c r="B17" s="1"/>
      <c r="C17" s="6" t="s">
        <v>180</v>
      </c>
      <c r="D17" s="57" t="s">
        <v>215</v>
      </c>
      <c r="E17" s="58"/>
      <c r="F17" s="58"/>
      <c r="G17" s="59"/>
      <c r="H17" s="1"/>
      <c r="I17" s="1"/>
    </row>
    <row r="18" spans="1:9" x14ac:dyDescent="0.25">
      <c r="A18" s="1"/>
      <c r="B18" s="1"/>
      <c r="C18" s="6" t="s">
        <v>157</v>
      </c>
      <c r="D18" s="69" t="s">
        <v>135</v>
      </c>
      <c r="E18" s="70"/>
      <c r="F18" s="70"/>
      <c r="G18" s="71"/>
      <c r="H18" s="1"/>
      <c r="I18" s="1"/>
    </row>
    <row r="19" spans="1:9" x14ac:dyDescent="0.25">
      <c r="A19" s="1"/>
      <c r="B19" s="1"/>
      <c r="C19" s="6" t="s">
        <v>158</v>
      </c>
      <c r="D19" s="69" t="s">
        <v>136</v>
      </c>
      <c r="E19" s="70"/>
      <c r="F19" s="70"/>
      <c r="G19" s="71"/>
      <c r="H19" s="1"/>
      <c r="I19" s="1"/>
    </row>
    <row r="20" spans="1:9" x14ac:dyDescent="0.25">
      <c r="A20" s="1"/>
      <c r="B20" s="1"/>
      <c r="C20" s="6" t="s">
        <v>7</v>
      </c>
      <c r="D20" s="69" t="s">
        <v>10</v>
      </c>
      <c r="E20" s="70"/>
      <c r="F20" s="70"/>
      <c r="G20" s="71"/>
      <c r="H20" s="1"/>
      <c r="I20" s="1"/>
    </row>
    <row r="21" spans="1:9" x14ac:dyDescent="0.25">
      <c r="A21" s="1"/>
      <c r="B21" s="1"/>
      <c r="C21" s="6" t="s">
        <v>159</v>
      </c>
      <c r="D21" s="61" t="s">
        <v>13</v>
      </c>
      <c r="E21" s="62"/>
      <c r="F21" s="62"/>
      <c r="G21" s="63"/>
      <c r="H21" s="1"/>
      <c r="I21" s="1"/>
    </row>
    <row r="22" spans="1:9" x14ac:dyDescent="0.25">
      <c r="A22" s="1"/>
      <c r="B22" s="1"/>
      <c r="C22" s="6" t="s">
        <v>111</v>
      </c>
      <c r="D22" s="64" t="s">
        <v>255</v>
      </c>
      <c r="E22" s="65"/>
      <c r="F22" s="65"/>
      <c r="G22" s="66"/>
      <c r="H22" s="1"/>
      <c r="I22" s="1"/>
    </row>
    <row r="23" spans="1:9" x14ac:dyDescent="0.25">
      <c r="A23" s="1"/>
      <c r="B23" s="1"/>
      <c r="C23" s="6" t="s">
        <v>8</v>
      </c>
      <c r="D23" s="64" t="s">
        <v>184</v>
      </c>
      <c r="E23" s="65"/>
      <c r="F23" s="65"/>
      <c r="G23" s="66"/>
      <c r="H23" s="1"/>
      <c r="I23" s="1"/>
    </row>
    <row r="24" spans="1:9" x14ac:dyDescent="0.25">
      <c r="A24" s="1"/>
      <c r="B24" s="1"/>
      <c r="C24" s="6" t="s">
        <v>9</v>
      </c>
      <c r="D24" s="64" t="s">
        <v>44</v>
      </c>
      <c r="E24" s="65"/>
      <c r="F24" s="65"/>
      <c r="G24" s="66"/>
      <c r="H24" s="1"/>
      <c r="I24" s="1"/>
    </row>
    <row r="25" spans="1:9" x14ac:dyDescent="0.25">
      <c r="A25" s="1"/>
      <c r="B25" s="1"/>
      <c r="C25" s="6" t="s">
        <v>160</v>
      </c>
      <c r="D25" s="64" t="s">
        <v>112</v>
      </c>
      <c r="E25" s="65"/>
      <c r="F25" s="65"/>
      <c r="G25" s="66"/>
      <c r="H25" s="1"/>
      <c r="I25" s="1"/>
    </row>
    <row r="26" spans="1:9" x14ac:dyDescent="0.25">
      <c r="A26" s="1"/>
      <c r="B26" s="1"/>
      <c r="C26" s="6" t="s">
        <v>161</v>
      </c>
      <c r="D26" s="64" t="s">
        <v>113</v>
      </c>
      <c r="E26" s="65"/>
      <c r="F26" s="65"/>
      <c r="G26" s="66"/>
      <c r="H26" s="1"/>
      <c r="I26" s="1"/>
    </row>
    <row r="27" spans="1:9" x14ac:dyDescent="0.25">
      <c r="A27" s="1"/>
      <c r="B27" s="1"/>
      <c r="C27" s="6" t="s">
        <v>162</v>
      </c>
      <c r="D27" s="64" t="s">
        <v>114</v>
      </c>
      <c r="E27" s="65"/>
      <c r="F27" s="65"/>
      <c r="G27" s="66"/>
      <c r="H27" s="1"/>
      <c r="I27" s="1"/>
    </row>
    <row r="28" spans="1:9" x14ac:dyDescent="0.25">
      <c r="A28" s="1"/>
      <c r="B28" s="1"/>
      <c r="C28" s="6" t="s">
        <v>16</v>
      </c>
      <c r="D28" s="64" t="s">
        <v>216</v>
      </c>
      <c r="E28" s="65"/>
      <c r="F28" s="65"/>
      <c r="G28" s="66"/>
      <c r="H28" s="1"/>
      <c r="I28" s="1"/>
    </row>
    <row r="29" spans="1:9" x14ac:dyDescent="0.25">
      <c r="A29" s="1"/>
      <c r="B29" s="1"/>
      <c r="C29" s="6" t="s">
        <v>46</v>
      </c>
      <c r="D29" s="64" t="s">
        <v>45</v>
      </c>
      <c r="E29" s="65"/>
      <c r="F29" s="65"/>
      <c r="G29" s="66"/>
      <c r="H29" s="1"/>
      <c r="I29" s="1"/>
    </row>
    <row r="30" spans="1:9" x14ac:dyDescent="0.25">
      <c r="A30" s="1"/>
      <c r="B30" s="1"/>
      <c r="C30" s="6" t="s">
        <v>47</v>
      </c>
      <c r="D30" s="72" t="s">
        <v>155</v>
      </c>
      <c r="E30" s="73"/>
      <c r="F30" s="73"/>
      <c r="G30" s="74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z73cO1OGQtLdOFQNrHUVhe0xnQqswbrIlsjRjuNiAUeJiWKPEujR0ZCSStO82Pun1KayoqF8jA7Bc0an/99Img==" saltValue="i0yF582rSLMsx1QQR1jGQQ==" spinCount="100000" sheet="1" objects="1" scenarios="1"/>
  <mergeCells count="21">
    <mergeCell ref="D29:G29"/>
    <mergeCell ref="D30:G30"/>
    <mergeCell ref="D18:G18"/>
    <mergeCell ref="D24:G24"/>
    <mergeCell ref="D25:G25"/>
    <mergeCell ref="D28:G28"/>
    <mergeCell ref="D26:G26"/>
    <mergeCell ref="D27:G27"/>
    <mergeCell ref="D23:G23"/>
    <mergeCell ref="D14:G14"/>
    <mergeCell ref="D6:G7"/>
    <mergeCell ref="D21:G21"/>
    <mergeCell ref="D22:G22"/>
    <mergeCell ref="D11:G11"/>
    <mergeCell ref="D8:G8"/>
    <mergeCell ref="D15:G15"/>
    <mergeCell ref="D16:G16"/>
    <mergeCell ref="D19:G19"/>
    <mergeCell ref="D13:G13"/>
    <mergeCell ref="D17:G17"/>
    <mergeCell ref="D20:G20"/>
  </mergeCells>
  <hyperlinks>
    <hyperlink ref="D14:G14" location="'Fane 2.2. Økonomisk ramme 2022'!A1" display="Samlet økonomisk ramme for 2022"/>
    <hyperlink ref="D25:G25" location="'Fane 10.1. Varige tillæg'!A1" display="Varige tillæg"/>
    <hyperlink ref="D28:G28" location="'Fane 12. Tilknyttet virksomhed'!A1" display="Tilknyttet virksomhed"/>
    <hyperlink ref="D29:G29" location="'Fane 13. Bortfald'!A1" display="Bortfald"/>
    <hyperlink ref="D13:G13" location="'Fane 2.1. Økonomisk ramme 2021'!A1" display="Samlet økonomisk ramme for 2021"/>
    <hyperlink ref="D16:G16" location="'Fane 2.4. Økonomisk ramme 2024'!A1" display="Vejledende økonomisk ramme for 2024"/>
    <hyperlink ref="D15:G15" location="'Fane 2.3. Økonomisk ramme 2023'!A1" display="Vejledende økonomisk ramme for 2023"/>
    <hyperlink ref="D22:G22" location="'Fane 7. Kontrol af ØR2020'!A1" display="Kontrol af den økonomiske ramme for 2019"/>
    <hyperlink ref="D24:G24" location="'Fane 9. Anlægsprojekter'!A1" display="Anlægsprojekter"/>
    <hyperlink ref="D30:G30" location="'Fane 14. Nøgletal'!A1" display="Nøgletal"/>
    <hyperlink ref="D17:G17" location="'Fane 3. Omkostninger i ØR2020'!A1" display="Omkostninger i ØR2020"/>
    <hyperlink ref="D26:G26" location="'Fane 10.2. Engangstillæg'!A1" display="Engangstillæg"/>
    <hyperlink ref="D27:G27" location="'Fane 11. Periodevise driftsomk.'!A1" display="Periodevise driftsomkostninger"/>
    <hyperlink ref="D23:G23" location="'Fane 8. Korrektion af ØR2019'!A1" display="Korrektion af den økonomiske ramme for 2019"/>
    <hyperlink ref="D21:G21" location="'Fane 6. Ikke-påvirkelige omk.'!A1" display="Ikke-påvirkelige omkostninger"/>
    <hyperlink ref="D18:G18" location="'Fane 4.1. Gen. krav - drift'!A1" display="Generelt effektiviseringskrav på drift"/>
    <hyperlink ref="D20:G20" location="'Fane 5. Individuelt eff. krav'!A1" display="Individuelt effektiviseringskrav"/>
    <hyperlink ref="D19:G19" location="'Fane 4.2. Gen. krav - anlæg'!A1" display="Generelt effektiviseringskrav på anlæg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3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8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75" t="s">
        <v>165</v>
      </c>
      <c r="C3" s="75"/>
      <c r="D3" s="75"/>
      <c r="E3" s="1"/>
      <c r="F3" s="1"/>
    </row>
    <row r="4" spans="1:6" ht="15" customHeight="1" x14ac:dyDescent="0.25">
      <c r="A4" s="1"/>
      <c r="B4" s="75"/>
      <c r="C4" s="75"/>
      <c r="D4" s="75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86" t="s">
        <v>196</v>
      </c>
      <c r="C8" s="87"/>
      <c r="D8" s="88"/>
      <c r="E8" s="1"/>
      <c r="F8" s="1"/>
    </row>
    <row r="9" spans="1:6" ht="15" customHeight="1" x14ac:dyDescent="0.25">
      <c r="A9" s="1"/>
      <c r="B9" s="31" t="s">
        <v>39</v>
      </c>
      <c r="C9" s="11" t="s">
        <v>197</v>
      </c>
      <c r="D9" s="11"/>
      <c r="E9" s="1"/>
      <c r="F9" s="1"/>
    </row>
    <row r="10" spans="1:6" ht="15" customHeight="1" x14ac:dyDescent="0.25">
      <c r="A10" s="1"/>
      <c r="B10" s="54" t="s">
        <v>265</v>
      </c>
      <c r="C10" s="9">
        <v>1366393.5</v>
      </c>
      <c r="D10" s="14" t="s">
        <v>3</v>
      </c>
      <c r="E10" s="1"/>
      <c r="F10" s="1"/>
    </row>
    <row r="11" spans="1:6" ht="15" customHeight="1" x14ac:dyDescent="0.25">
      <c r="A11" s="1"/>
      <c r="B11" s="54" t="s">
        <v>266</v>
      </c>
      <c r="C11" s="9">
        <v>72200</v>
      </c>
      <c r="D11" s="14" t="s">
        <v>3</v>
      </c>
      <c r="E11" s="1"/>
      <c r="F11" s="1"/>
    </row>
    <row r="12" spans="1:6" ht="15" customHeight="1" x14ac:dyDescent="0.25">
      <c r="A12" s="1"/>
      <c r="B12" s="54" t="s">
        <v>267</v>
      </c>
      <c r="C12" s="9">
        <v>457268</v>
      </c>
      <c r="D12" s="14" t="s">
        <v>3</v>
      </c>
      <c r="E12" s="1"/>
      <c r="F12" s="1"/>
    </row>
    <row r="13" spans="1:6" x14ac:dyDescent="0.25">
      <c r="A13" s="1"/>
      <c r="B13" s="54" t="s">
        <v>268</v>
      </c>
      <c r="C13" s="9">
        <v>38793.919999999998</v>
      </c>
      <c r="D13" s="14" t="s">
        <v>3</v>
      </c>
      <c r="E13" s="1"/>
      <c r="F13" s="1"/>
    </row>
    <row r="14" spans="1:6" x14ac:dyDescent="0.25">
      <c r="A14" s="1"/>
      <c r="B14" s="54" t="s">
        <v>269</v>
      </c>
      <c r="C14" s="9">
        <v>39830</v>
      </c>
      <c r="D14" s="14" t="s">
        <v>3</v>
      </c>
      <c r="E14" s="1"/>
      <c r="F14" s="1"/>
    </row>
    <row r="15" spans="1:6" x14ac:dyDescent="0.25">
      <c r="A15" s="1"/>
      <c r="B15" s="54" t="s">
        <v>270</v>
      </c>
      <c r="C15" s="9">
        <v>355881.73</v>
      </c>
      <c r="D15" s="14" t="s">
        <v>3</v>
      </c>
      <c r="E15" s="1"/>
      <c r="F15" s="1"/>
    </row>
    <row r="16" spans="1:6" x14ac:dyDescent="0.25">
      <c r="A16" s="1"/>
      <c r="B16" s="38" t="s">
        <v>198</v>
      </c>
      <c r="C16" s="12">
        <f>SUM(C10:C15)</f>
        <v>2330367.15</v>
      </c>
      <c r="D16" s="13" t="s">
        <v>3</v>
      </c>
      <c r="E16" s="1"/>
      <c r="F16" s="1"/>
    </row>
    <row r="17" spans="1:6" x14ac:dyDescent="0.25">
      <c r="A17" s="1"/>
      <c r="B17" s="38" t="s">
        <v>199</v>
      </c>
      <c r="C17" s="12">
        <f>C16*(1+'Fane 14. Nøgletal'!C13)^2</f>
        <v>2387574.9603066058</v>
      </c>
      <c r="D17" s="13" t="s">
        <v>3</v>
      </c>
      <c r="E17" s="1"/>
      <c r="F17" s="1"/>
    </row>
    <row r="18" spans="1:6" x14ac:dyDescent="0.25">
      <c r="A18" s="1"/>
      <c r="B18" s="16"/>
      <c r="C18" s="15"/>
      <c r="D18" s="15"/>
      <c r="E18" s="1"/>
      <c r="F18" s="1"/>
    </row>
    <row r="19" spans="1:6" x14ac:dyDescent="0.25">
      <c r="A19" s="1"/>
      <c r="B19" s="16"/>
      <c r="C19" s="15"/>
      <c r="D19" s="15"/>
      <c r="E19" s="1"/>
      <c r="F19" s="1"/>
    </row>
    <row r="20" spans="1:6" x14ac:dyDescent="0.25">
      <c r="A20" s="1"/>
      <c r="B20" s="86" t="s">
        <v>178</v>
      </c>
      <c r="C20" s="87"/>
      <c r="D20" s="88"/>
      <c r="E20" s="1"/>
      <c r="F20" s="1"/>
    </row>
    <row r="21" spans="1:6" x14ac:dyDescent="0.25">
      <c r="A21" s="1"/>
      <c r="B21" s="54" t="s">
        <v>147</v>
      </c>
      <c r="C21" s="9">
        <v>1045594</v>
      </c>
      <c r="D21" s="14" t="s">
        <v>3</v>
      </c>
      <c r="E21" s="1"/>
      <c r="F21" s="1"/>
    </row>
    <row r="22" spans="1:6" x14ac:dyDescent="0.25">
      <c r="A22" s="1"/>
      <c r="B22" s="54" t="s">
        <v>148</v>
      </c>
      <c r="C22" s="9">
        <v>1045594</v>
      </c>
      <c r="D22" s="14" t="s">
        <v>3</v>
      </c>
      <c r="E22" s="1"/>
      <c r="F22" s="1"/>
    </row>
    <row r="23" spans="1:6" x14ac:dyDescent="0.25">
      <c r="A23" s="1"/>
      <c r="B23" s="54" t="s">
        <v>149</v>
      </c>
      <c r="C23" s="9">
        <v>1045594</v>
      </c>
      <c r="D23" s="14" t="s">
        <v>3</v>
      </c>
      <c r="E23" s="1"/>
      <c r="F23" s="1"/>
    </row>
    <row r="24" spans="1:6" x14ac:dyDescent="0.25">
      <c r="A24" s="1"/>
      <c r="B24" s="54" t="s">
        <v>200</v>
      </c>
      <c r="C24" s="9">
        <v>1045594</v>
      </c>
      <c r="D24" s="14" t="s">
        <v>3</v>
      </c>
      <c r="E24" s="1"/>
      <c r="F24" s="1"/>
    </row>
    <row r="25" spans="1:6" x14ac:dyDescent="0.25">
      <c r="A25" s="1"/>
      <c r="B25" s="86"/>
      <c r="C25" s="87"/>
      <c r="D25" s="88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1"/>
      <c r="C27" s="1"/>
      <c r="D27" s="1"/>
      <c r="E27" s="1"/>
      <c r="F27" s="1"/>
    </row>
    <row r="28" spans="1:6" x14ac:dyDescent="0.25">
      <c r="A28" s="1"/>
      <c r="B28" s="86" t="s">
        <v>146</v>
      </c>
      <c r="C28" s="87"/>
      <c r="D28" s="88"/>
      <c r="E28" s="1"/>
      <c r="F28" s="1"/>
    </row>
    <row r="29" spans="1:6" x14ac:dyDescent="0.25">
      <c r="A29" s="1"/>
      <c r="B29" s="54" t="s">
        <v>147</v>
      </c>
      <c r="C29" s="9">
        <v>750000</v>
      </c>
      <c r="D29" s="14" t="s">
        <v>3</v>
      </c>
      <c r="E29" s="1"/>
      <c r="F29" s="1"/>
    </row>
    <row r="30" spans="1:6" x14ac:dyDescent="0.25">
      <c r="A30" s="1"/>
      <c r="B30" s="54" t="s">
        <v>148</v>
      </c>
      <c r="C30" s="9">
        <v>750000</v>
      </c>
      <c r="D30" s="14" t="s">
        <v>3</v>
      </c>
      <c r="E30" s="1"/>
      <c r="F30" s="1"/>
    </row>
    <row r="31" spans="1:6" x14ac:dyDescent="0.25">
      <c r="A31" s="1"/>
      <c r="B31" s="54" t="s">
        <v>149</v>
      </c>
      <c r="C31" s="9">
        <v>0</v>
      </c>
      <c r="D31" s="14" t="s">
        <v>3</v>
      </c>
      <c r="E31" s="1"/>
      <c r="F31" s="1"/>
    </row>
    <row r="32" spans="1:6" x14ac:dyDescent="0.25">
      <c r="A32" s="1"/>
      <c r="B32" s="54" t="s">
        <v>200</v>
      </c>
      <c r="C32" s="9">
        <v>0</v>
      </c>
      <c r="D32" s="14" t="s">
        <v>3</v>
      </c>
      <c r="E32" s="1"/>
      <c r="F32" s="1"/>
    </row>
    <row r="33" spans="1:6" x14ac:dyDescent="0.25">
      <c r="A33" s="1"/>
      <c r="B33" s="86"/>
      <c r="C33" s="87"/>
      <c r="D33" s="88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  <row r="51" spans="1:6" x14ac:dyDescent="0.25">
      <c r="A51" s="1"/>
      <c r="B51" s="1"/>
      <c r="C51" s="1"/>
      <c r="D51" s="1"/>
      <c r="E51" s="1"/>
      <c r="F51" s="1"/>
    </row>
    <row r="52" spans="1:6" x14ac:dyDescent="0.25">
      <c r="A52" s="1"/>
      <c r="B52" s="1"/>
      <c r="C52" s="1"/>
      <c r="D52" s="1"/>
      <c r="E52" s="1"/>
      <c r="F52" s="1"/>
    </row>
    <row r="53" spans="1:6" x14ac:dyDescent="0.25">
      <c r="A53" s="1"/>
      <c r="B53" s="1"/>
      <c r="C53" s="1"/>
      <c r="D53" s="1"/>
      <c r="E53" s="1"/>
      <c r="F53" s="1"/>
    </row>
  </sheetData>
  <sheetProtection algorithmName="SHA-512" hashValue="0a818zN1wMtOjmEyC5dm2XFNJEVhYrRzgETWZ9SknmZVjqfX47K+uDVfi7Tbg+8M5BLVhPOzqVWBJKVpACxV0Q==" saltValue="NLIatP8PpJKmFu54kyaQNw==" spinCount="100000" sheet="1" objects="1" scenarios="1"/>
  <mergeCells count="6">
    <mergeCell ref="B33:D33"/>
    <mergeCell ref="B3:D4"/>
    <mergeCell ref="B8:D8"/>
    <mergeCell ref="B20:D20"/>
    <mergeCell ref="B28:D28"/>
    <mergeCell ref="B25:D25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60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5.8554687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89" t="s">
        <v>256</v>
      </c>
      <c r="C3" s="89"/>
      <c r="D3" s="89"/>
      <c r="E3" s="89"/>
      <c r="F3" s="89"/>
      <c r="G3" s="1"/>
    </row>
    <row r="4" spans="1:7" ht="15" customHeight="1" x14ac:dyDescent="0.25">
      <c r="A4" s="1"/>
      <c r="B4" s="89"/>
      <c r="C4" s="89"/>
      <c r="D4" s="89"/>
      <c r="E4" s="89"/>
      <c r="F4" s="89"/>
      <c r="G4" s="1"/>
    </row>
    <row r="5" spans="1:7" ht="15" customHeight="1" x14ac:dyDescent="0.25">
      <c r="A5" s="1"/>
      <c r="B5" s="52"/>
      <c r="C5" s="52"/>
      <c r="D5" s="52"/>
      <c r="E5" s="52"/>
      <c r="F5" s="52"/>
      <c r="G5" s="1"/>
    </row>
    <row r="6" spans="1:7" ht="15" customHeight="1" x14ac:dyDescent="0.25">
      <c r="A6" s="1"/>
      <c r="B6" s="52"/>
      <c r="C6" s="52"/>
      <c r="D6" s="52"/>
      <c r="E6" s="52"/>
      <c r="F6" s="52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6" t="s">
        <v>137</v>
      </c>
      <c r="C8" s="87"/>
      <c r="D8" s="87"/>
      <c r="E8" s="87"/>
      <c r="F8" s="88"/>
      <c r="G8" s="1"/>
    </row>
    <row r="9" spans="1:7" x14ac:dyDescent="0.25">
      <c r="A9" s="1"/>
      <c r="B9" s="92" t="s">
        <v>138</v>
      </c>
      <c r="C9" s="93"/>
      <c r="D9" s="94"/>
      <c r="E9" s="9">
        <v>77497951.097141698</v>
      </c>
      <c r="F9" s="14" t="s">
        <v>3</v>
      </c>
      <c r="G9" s="1"/>
    </row>
    <row r="10" spans="1:7" x14ac:dyDescent="0.25">
      <c r="A10" s="1"/>
      <c r="B10" s="92" t="s">
        <v>139</v>
      </c>
      <c r="C10" s="93"/>
      <c r="D10" s="94"/>
      <c r="E10" s="9">
        <v>67086465</v>
      </c>
      <c r="F10" s="14" t="s">
        <v>3</v>
      </c>
      <c r="G10" s="1"/>
    </row>
    <row r="11" spans="1:7" x14ac:dyDescent="0.25">
      <c r="A11" s="1"/>
      <c r="B11" s="92" t="s">
        <v>40</v>
      </c>
      <c r="C11" s="93"/>
      <c r="D11" s="94"/>
      <c r="E11" s="9">
        <v>0</v>
      </c>
      <c r="F11" s="14" t="s">
        <v>3</v>
      </c>
      <c r="G11" s="1"/>
    </row>
    <row r="12" spans="1:7" x14ac:dyDescent="0.25">
      <c r="A12" s="1"/>
      <c r="B12" s="90" t="s">
        <v>140</v>
      </c>
      <c r="C12" s="91"/>
      <c r="D12" s="101"/>
      <c r="E12" s="10">
        <f>E9-(E10-E11)</f>
        <v>10411486.097141698</v>
      </c>
      <c r="F12" s="17" t="s">
        <v>3</v>
      </c>
      <c r="G12" s="1"/>
    </row>
    <row r="13" spans="1:7" x14ac:dyDescent="0.25">
      <c r="A13" s="1"/>
      <c r="B13" s="38"/>
      <c r="C13" s="32"/>
      <c r="D13" s="32"/>
      <c r="E13" s="32"/>
      <c r="F13" s="20"/>
      <c r="G13" s="1"/>
    </row>
    <row r="14" spans="1:7" ht="27" customHeight="1" x14ac:dyDescent="0.25">
      <c r="A14" s="1"/>
      <c r="B14" s="77" t="s">
        <v>156</v>
      </c>
      <c r="C14" s="78"/>
      <c r="D14" s="78"/>
      <c r="E14" s="78"/>
      <c r="F14" s="79"/>
      <c r="G14" s="1"/>
    </row>
    <row r="15" spans="1:7" ht="28.5" customHeight="1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86" t="s">
        <v>52</v>
      </c>
      <c r="C16" s="87"/>
      <c r="D16" s="87"/>
      <c r="E16" s="87"/>
      <c r="F16" s="88"/>
      <c r="G16" s="1"/>
    </row>
    <row r="17" spans="1:7" x14ac:dyDescent="0.25">
      <c r="A17" s="1"/>
      <c r="B17" s="92" t="s">
        <v>53</v>
      </c>
      <c r="C17" s="93"/>
      <c r="D17" s="94"/>
      <c r="E17" s="9">
        <v>64772536.685007885</v>
      </c>
      <c r="F17" s="14" t="s">
        <v>3</v>
      </c>
      <c r="G17" s="1"/>
    </row>
    <row r="18" spans="1:7" x14ac:dyDescent="0.25">
      <c r="A18" s="1"/>
      <c r="B18" s="92" t="s">
        <v>54</v>
      </c>
      <c r="C18" s="93"/>
      <c r="D18" s="94"/>
      <c r="E18" s="9">
        <v>73021375</v>
      </c>
      <c r="F18" s="14" t="s">
        <v>3</v>
      </c>
      <c r="G18" s="1"/>
    </row>
    <row r="19" spans="1:7" x14ac:dyDescent="0.25">
      <c r="A19" s="1"/>
      <c r="B19" s="92" t="s">
        <v>40</v>
      </c>
      <c r="C19" s="93"/>
      <c r="D19" s="94"/>
      <c r="E19" s="9">
        <v>0</v>
      </c>
      <c r="F19" s="14" t="s">
        <v>3</v>
      </c>
      <c r="G19" s="1"/>
    </row>
    <row r="20" spans="1:7" x14ac:dyDescent="0.25">
      <c r="A20" s="1"/>
      <c r="B20" s="90" t="s">
        <v>55</v>
      </c>
      <c r="C20" s="91"/>
      <c r="D20" s="101"/>
      <c r="E20" s="10">
        <f>E17-(E18-E19)</f>
        <v>-8248838.3149921149</v>
      </c>
      <c r="F20" s="17" t="s">
        <v>3</v>
      </c>
      <c r="G20" s="1"/>
    </row>
    <row r="21" spans="1:7" x14ac:dyDescent="0.25">
      <c r="A21" s="1"/>
      <c r="B21" s="38"/>
      <c r="C21" s="32"/>
      <c r="D21" s="32"/>
      <c r="E21" s="32"/>
      <c r="F21" s="20"/>
      <c r="G21" s="1"/>
    </row>
    <row r="22" spans="1:7" ht="28.5" customHeight="1" x14ac:dyDescent="0.25">
      <c r="A22" s="1"/>
      <c r="B22" s="77" t="s">
        <v>218</v>
      </c>
      <c r="C22" s="78"/>
      <c r="D22" s="78"/>
      <c r="E22" s="78"/>
      <c r="F22" s="79"/>
      <c r="G22" s="1"/>
    </row>
    <row r="23" spans="1:7" ht="28.5" customHeight="1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86" t="s">
        <v>245</v>
      </c>
      <c r="C24" s="87"/>
      <c r="D24" s="87"/>
      <c r="E24" s="87"/>
      <c r="F24" s="88"/>
      <c r="G24" s="1"/>
    </row>
    <row r="25" spans="1:7" x14ac:dyDescent="0.25">
      <c r="A25" s="1"/>
      <c r="B25" s="92" t="s">
        <v>246</v>
      </c>
      <c r="C25" s="93"/>
      <c r="D25" s="94"/>
      <c r="E25" s="9">
        <v>71016507.487330422</v>
      </c>
      <c r="F25" s="14" t="s">
        <v>3</v>
      </c>
      <c r="G25" s="1"/>
    </row>
    <row r="26" spans="1:7" x14ac:dyDescent="0.25">
      <c r="A26" s="1"/>
      <c r="B26" s="92" t="s">
        <v>247</v>
      </c>
      <c r="C26" s="93"/>
      <c r="D26" s="94"/>
      <c r="E26" s="9">
        <v>68303346</v>
      </c>
      <c r="F26" s="14" t="s">
        <v>3</v>
      </c>
      <c r="G26" s="1"/>
    </row>
    <row r="27" spans="1:7" x14ac:dyDescent="0.25">
      <c r="A27" s="1"/>
      <c r="B27" s="92" t="s">
        <v>40</v>
      </c>
      <c r="C27" s="93"/>
      <c r="D27" s="94"/>
      <c r="E27" s="9">
        <v>0</v>
      </c>
      <c r="F27" s="14" t="s">
        <v>3</v>
      </c>
      <c r="G27" s="1"/>
    </row>
    <row r="28" spans="1:7" x14ac:dyDescent="0.25">
      <c r="A28" s="1"/>
      <c r="B28" s="90" t="s">
        <v>248</v>
      </c>
      <c r="C28" s="91"/>
      <c r="D28" s="101"/>
      <c r="E28" s="10">
        <f>E25-(E26-E27)</f>
        <v>2713161.4873304218</v>
      </c>
      <c r="F28" s="17" t="s">
        <v>3</v>
      </c>
      <c r="G28" s="1"/>
    </row>
    <row r="29" spans="1:7" x14ac:dyDescent="0.25">
      <c r="A29" s="1"/>
      <c r="B29" s="38"/>
      <c r="C29" s="32"/>
      <c r="D29" s="32"/>
      <c r="E29" s="32"/>
      <c r="F29" s="20"/>
      <c r="G29" s="1"/>
    </row>
    <row r="30" spans="1:7" ht="28.5" customHeight="1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86" t="s">
        <v>250</v>
      </c>
      <c r="C31" s="87"/>
      <c r="D31" s="87"/>
      <c r="E31" s="87"/>
      <c r="F31" s="88"/>
      <c r="G31" s="1"/>
    </row>
    <row r="32" spans="1:7" x14ac:dyDescent="0.25">
      <c r="A32" s="1"/>
      <c r="B32" s="90" t="s">
        <v>251</v>
      </c>
      <c r="C32" s="91"/>
      <c r="D32" s="101"/>
      <c r="E32" s="10">
        <f>IF(AND(E12&lt;0,E20&gt;=0,E28&gt;=0),E12/2,IF(AND(E12&lt;0,E20&lt;0,E28&lt;0),SUM(E12,E20)/2,IF(AND(E12&lt;0,E20&gt;=0,E28&lt;0,ABS(E20)&gt;ABS(E28)),E12/2,IF(AND(E12&lt;0,E20&gt;=0,E28&lt;0,ABS(E20)&lt;ABS(E28)),E12/2,IF(AND(E12&lt;0,E20&lt;0,E28&gt;=0,ABS(E20)&gt;ABS(E28)),E12/2+(E20/2+E28),IF(AND(E12&lt;0,E20&lt;0,E28&gt;=0,ABS(E20)&lt;ABS(E28)),E12/2+E20/2+(E28-(E28+E20)),IF(AND(E12&gt;=0,E20&gt;=0,E28&gt;=0),0,IF(AND(E12&gt;=0,E20&lt;0,E28&lt;0,ABS(E20)&gt;ABS(E12)),(E20+E12)/2,IF(AND(E12&gt;=0,E20&lt;0,E28&lt;0,ABS(E20)&lt;ABS(E12)),0,IF(AND(E12&gt;0,E20&gt;=0,E28&lt;0,ABS(E20)&gt;ABS(E28)),0,IF(AND(E12&gt;0,E20&gt;=0,E28&lt;0,ABS(E20)&lt;ABS(E28)),0,IF(AND(E12&gt;0,E20&lt;0,E28&gt;=0,ABS(E12)&gt;ABS(E20)),0,IF(AND(E12&gt;0,E20&lt;0,E28&gt;=0,ABS(E12)&lt;ABS(E20),ABS(E28)&gt;ABS(E20+E12)),(E20+E12)/2+(E28-E28-(E20+E12)),IF(AND(E12&gt;0,E20&lt;0,E28&gt;=0,ABS(E12)&lt;ABS(E20),ABS(E28)&lt;ABS(E20+E12)),(E20+E12)/2+E28,0))))))))))))))</f>
        <v>0</v>
      </c>
      <c r="F32" s="17" t="s">
        <v>3</v>
      </c>
      <c r="G32" s="1"/>
    </row>
    <row r="33" spans="1:7" x14ac:dyDescent="0.25">
      <c r="A33" s="1"/>
      <c r="B33" s="86"/>
      <c r="C33" s="87"/>
      <c r="D33" s="87"/>
      <c r="E33" s="87"/>
      <c r="F33" s="88"/>
      <c r="G33" s="1"/>
    </row>
    <row r="34" spans="1:7" ht="28.5" customHeight="1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86" t="s">
        <v>249</v>
      </c>
      <c r="C35" s="87"/>
      <c r="D35" s="87"/>
      <c r="E35" s="87"/>
      <c r="F35" s="88"/>
      <c r="G35" s="1"/>
    </row>
    <row r="36" spans="1:7" x14ac:dyDescent="0.25">
      <c r="A36" s="1"/>
      <c r="B36" s="102" t="s">
        <v>276</v>
      </c>
      <c r="C36" s="103"/>
      <c r="D36" s="104"/>
      <c r="E36" s="9">
        <v>0</v>
      </c>
      <c r="F36" s="14"/>
      <c r="G36" s="1"/>
    </row>
    <row r="37" spans="1:7" x14ac:dyDescent="0.25">
      <c r="A37" s="1"/>
      <c r="B37" s="102" t="s">
        <v>277</v>
      </c>
      <c r="C37" s="103"/>
      <c r="D37" s="104"/>
      <c r="E37" s="9">
        <v>0</v>
      </c>
      <c r="F37" s="14"/>
      <c r="G37" s="1"/>
    </row>
    <row r="38" spans="1:7" x14ac:dyDescent="0.25">
      <c r="A38" s="1"/>
      <c r="B38" s="102" t="s">
        <v>252</v>
      </c>
      <c r="C38" s="103"/>
      <c r="D38" s="104"/>
      <c r="E38" s="9">
        <f>IF(AND(E12&lt;0,E20&gt;=0,E28&gt;=0,),0,IF(AND(E12&lt;0,E20&lt;0,E28&gt;=0),0,IF(AND(E12&lt;0,E20&lt;0,E28&lt;0),E28,IF(AND(E12&lt;0,E20&gt;=0,E28&lt;0,ABS(E20)&gt;ABS(E28),E36=0,E37=1),0,IF(AND(E12&lt;0,E20&gt;=0,E28&lt;0,ABS(E20)&lt;ABS(E28),E36=0,E37=1),(E28+E20),IF(AND(E12&lt;0,E20&gt;=0,E28&lt;0,ABS(E20)&gt;ABS(E28)),0,IF(AND(E12&lt;0,E20&gt;=0,E28&lt;0,ABS(E20)&lt;ABS(E28)),(E20+E28),IF(AND(E12&gt;=0,E20&gt;=0,E28&gt;=0),0,IF(AND(E12&gt;=0,E20&lt;0,E28&lt;0,SUM(E12+E20)&gt;=0,ABS(E20+E28)&gt;E12,E36=1,E37=0),(E12+E20+E28),IF(AND(E12&gt;=0,E20&lt;0,E28&lt;0,SUM(E12+E20)&gt;=0,ABS(E20+E28)&lt;E12,E36=1,E37=0),0,IF(AND(E12&gt;=0,E20&lt;0,E28&lt;0,SUM(E12+E20)&lt;0,E36=1,E37=0),(E28),IF(AND(E12&gt;=0,E20&lt;0,E28&lt;0),E28,IF(AND(E12&gt;0,E20&gt;=0,E28&lt;0,ABS(E20+E12)&gt;ABS(E28),E36=1,E37=1),0,IF(AND(E12&gt;0,E20&gt;=0,E28&lt;0,ABS(E20+E12)&lt;ABS(E28),E36=1,E37=1),(E28+(E12+E20)),IF(AND(E12&gt;0,E20&gt;=0,E28&lt;0,ABS(E20)&gt;ABS(E28)),0,IF(AND(E12&gt;0,E20&gt;=0,E28&lt;0,ABS(E20)&lt;ABS(E28)),(E20+E28),IF(AND(E12&gt;=0,E20&lt;0,E28&gt;=0),0,0)))))))))))))))))</f>
        <v>0</v>
      </c>
      <c r="F38" s="14" t="s">
        <v>3</v>
      </c>
      <c r="G38" s="1"/>
    </row>
    <row r="39" spans="1:7" x14ac:dyDescent="0.25">
      <c r="A39" s="1"/>
      <c r="B39" s="102" t="s">
        <v>152</v>
      </c>
      <c r="C39" s="103"/>
      <c r="D39" s="104"/>
      <c r="E39" s="9">
        <v>2</v>
      </c>
      <c r="F39" s="14" t="s">
        <v>21</v>
      </c>
      <c r="G39" s="1"/>
    </row>
    <row r="40" spans="1:7" x14ac:dyDescent="0.25">
      <c r="A40" s="1"/>
      <c r="B40" s="108" t="s">
        <v>253</v>
      </c>
      <c r="C40" s="108"/>
      <c r="D40" s="108"/>
      <c r="E40" s="10">
        <f>E38/E39</f>
        <v>0</v>
      </c>
      <c r="F40" s="17" t="s">
        <v>3</v>
      </c>
      <c r="G40" s="1"/>
    </row>
    <row r="41" spans="1:7" x14ac:dyDescent="0.25">
      <c r="A41" s="1"/>
      <c r="B41" s="105"/>
      <c r="C41" s="106"/>
      <c r="D41" s="106"/>
      <c r="E41" s="106"/>
      <c r="F41" s="107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7" spans="1:7" x14ac:dyDescent="0.25">
      <c r="A47" s="42"/>
      <c r="B47" s="42"/>
      <c r="C47" s="42"/>
      <c r="D47" s="42"/>
      <c r="E47" s="42"/>
      <c r="F47" s="42"/>
      <c r="G47" s="42"/>
    </row>
    <row r="48" spans="1:7" x14ac:dyDescent="0.25">
      <c r="A48" s="42"/>
      <c r="B48" s="42"/>
      <c r="C48" s="42"/>
      <c r="D48" s="42"/>
      <c r="E48" s="42"/>
      <c r="F48" s="42"/>
      <c r="G48" s="42"/>
    </row>
    <row r="49" spans="1:7" x14ac:dyDescent="0.25">
      <c r="A49" s="42"/>
      <c r="B49" s="42"/>
      <c r="C49" s="42"/>
      <c r="D49" s="42"/>
      <c r="E49" s="42"/>
      <c r="F49" s="42"/>
      <c r="G49" s="42"/>
    </row>
    <row r="50" spans="1:7" x14ac:dyDescent="0.25">
      <c r="A50" s="42"/>
      <c r="B50" s="42"/>
      <c r="C50" s="42"/>
      <c r="D50" s="42"/>
      <c r="E50" s="42"/>
      <c r="F50" s="42"/>
      <c r="G50" s="42"/>
    </row>
    <row r="51" spans="1:7" x14ac:dyDescent="0.25">
      <c r="A51" s="42"/>
      <c r="B51" s="42"/>
      <c r="C51" s="42"/>
      <c r="D51" s="42"/>
      <c r="E51" s="42"/>
      <c r="F51" s="42"/>
      <c r="G51" s="42"/>
    </row>
    <row r="52" spans="1:7" x14ac:dyDescent="0.25">
      <c r="A52" s="42"/>
      <c r="B52" s="42"/>
      <c r="C52" s="42"/>
      <c r="D52" s="42"/>
      <c r="E52" s="42"/>
      <c r="F52" s="42"/>
      <c r="G52" s="42"/>
    </row>
    <row r="53" spans="1:7" x14ac:dyDescent="0.25">
      <c r="A53" s="42"/>
      <c r="B53" s="42"/>
      <c r="C53" s="42"/>
      <c r="D53" s="42"/>
      <c r="E53" s="42"/>
      <c r="F53" s="42"/>
      <c r="G53" s="42"/>
    </row>
    <row r="54" spans="1:7" x14ac:dyDescent="0.25">
      <c r="A54" s="42"/>
      <c r="B54" s="42"/>
      <c r="C54" s="42"/>
      <c r="D54" s="42"/>
      <c r="E54" s="42"/>
      <c r="F54" s="42"/>
      <c r="G54" s="42"/>
    </row>
    <row r="55" spans="1:7" x14ac:dyDescent="0.25">
      <c r="A55" s="42"/>
      <c r="B55" s="42"/>
      <c r="C55" s="42"/>
      <c r="D55" s="42"/>
      <c r="E55" s="42"/>
      <c r="F55" s="42"/>
      <c r="G55" s="42"/>
    </row>
    <row r="56" spans="1:7" x14ac:dyDescent="0.25">
      <c r="A56" s="42"/>
      <c r="B56" s="42"/>
      <c r="C56" s="42"/>
      <c r="D56" s="42"/>
      <c r="E56" s="42"/>
      <c r="F56" s="42"/>
      <c r="G56" s="42"/>
    </row>
    <row r="57" spans="1:7" x14ac:dyDescent="0.25">
      <c r="A57" s="42"/>
      <c r="B57" s="42"/>
      <c r="C57" s="42"/>
      <c r="D57" s="42"/>
      <c r="E57" s="42"/>
      <c r="F57" s="42"/>
      <c r="G57" s="42"/>
    </row>
    <row r="58" spans="1:7" x14ac:dyDescent="0.25">
      <c r="A58" s="42"/>
      <c r="B58" s="42"/>
      <c r="C58" s="42"/>
      <c r="D58" s="42"/>
      <c r="E58" s="42"/>
      <c r="F58" s="42"/>
      <c r="G58" s="42"/>
    </row>
    <row r="59" spans="1:7" x14ac:dyDescent="0.25">
      <c r="A59" s="42"/>
      <c r="B59" s="42"/>
      <c r="C59" s="42"/>
      <c r="D59" s="42"/>
      <c r="E59" s="42"/>
      <c r="F59" s="42"/>
      <c r="G59" s="42"/>
    </row>
    <row r="60" spans="1:7" x14ac:dyDescent="0.25">
      <c r="A60" s="42"/>
      <c r="B60" s="42"/>
      <c r="C60" s="42"/>
      <c r="D60" s="42"/>
      <c r="E60" s="42"/>
      <c r="F60" s="42"/>
      <c r="G60" s="42"/>
    </row>
  </sheetData>
  <sheetProtection algorithmName="SHA-512" hashValue="yO03HznQlvBLRjFos7rskWD5QSn8bkEPz+ijEwHdP3omxqOC0TgyFRPp2/l7YtFEe4Dxfbxtwdzdlcjp6IQEwg==" saltValue="U6Sj2l+DWEaI6ZKOVa9eRw==" spinCount="100000" sheet="1" objects="1" scenarios="1"/>
  <mergeCells count="28">
    <mergeCell ref="B33:F33"/>
    <mergeCell ref="B31:F31"/>
    <mergeCell ref="B32:D32"/>
    <mergeCell ref="B22:F22"/>
    <mergeCell ref="B24:F24"/>
    <mergeCell ref="B25:D25"/>
    <mergeCell ref="B26:D26"/>
    <mergeCell ref="B27:D27"/>
    <mergeCell ref="B28:D28"/>
    <mergeCell ref="B35:F35"/>
    <mergeCell ref="B38:D38"/>
    <mergeCell ref="B41:F41"/>
    <mergeCell ref="B39:D39"/>
    <mergeCell ref="B40:D40"/>
    <mergeCell ref="B36:D36"/>
    <mergeCell ref="B37:D37"/>
    <mergeCell ref="B20:D20"/>
    <mergeCell ref="B3:F4"/>
    <mergeCell ref="B16:F16"/>
    <mergeCell ref="B17:D17"/>
    <mergeCell ref="B18:D18"/>
    <mergeCell ref="B19:D19"/>
    <mergeCell ref="B8:F8"/>
    <mergeCell ref="B9:D9"/>
    <mergeCell ref="B10:D10"/>
    <mergeCell ref="B11:D11"/>
    <mergeCell ref="B12:D12"/>
    <mergeCell ref="B14:F14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5.5703125" style="2" customWidth="1"/>
    <col min="5" max="5" width="12.7109375" style="2" bestFit="1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89" t="s">
        <v>201</v>
      </c>
      <c r="C3" s="89"/>
      <c r="D3" s="89"/>
      <c r="E3" s="89"/>
      <c r="F3" s="89"/>
      <c r="G3" s="1"/>
    </row>
    <row r="4" spans="1:7" ht="15" customHeight="1" x14ac:dyDescent="0.25">
      <c r="A4" s="1"/>
      <c r="B4" s="89"/>
      <c r="C4" s="89"/>
      <c r="D4" s="89"/>
      <c r="E4" s="89"/>
      <c r="F4" s="8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"/>
      <c r="C8" s="1"/>
      <c r="D8" s="1"/>
      <c r="E8" s="1"/>
      <c r="F8" s="1"/>
      <c r="G8" s="1"/>
    </row>
    <row r="9" spans="1:7" ht="15" customHeight="1" x14ac:dyDescent="0.25">
      <c r="A9" s="1"/>
      <c r="B9" s="86" t="s">
        <v>202</v>
      </c>
      <c r="C9" s="87"/>
      <c r="D9" s="87"/>
      <c r="E9" s="87"/>
      <c r="F9" s="88"/>
      <c r="G9" s="1"/>
    </row>
    <row r="10" spans="1:7" x14ac:dyDescent="0.25">
      <c r="A10" s="1"/>
      <c r="B10" s="77" t="s">
        <v>150</v>
      </c>
      <c r="C10" s="78"/>
      <c r="D10" s="79"/>
      <c r="E10" s="7">
        <v>0</v>
      </c>
      <c r="F10" s="8" t="s">
        <v>3</v>
      </c>
      <c r="G10" s="1"/>
    </row>
    <row r="11" spans="1:7" x14ac:dyDescent="0.25">
      <c r="A11" s="1"/>
      <c r="B11" s="92" t="s">
        <v>203</v>
      </c>
      <c r="C11" s="93"/>
      <c r="D11" s="94"/>
      <c r="E11" s="7">
        <v>0</v>
      </c>
      <c r="F11" s="8" t="s">
        <v>3</v>
      </c>
      <c r="G11" s="1"/>
    </row>
    <row r="12" spans="1:7" x14ac:dyDescent="0.25">
      <c r="A12" s="1"/>
      <c r="B12" s="90" t="s">
        <v>151</v>
      </c>
      <c r="C12" s="91"/>
      <c r="D12" s="101"/>
      <c r="E12" s="10">
        <f>E11-E10</f>
        <v>0</v>
      </c>
      <c r="F12" s="11" t="s">
        <v>3</v>
      </c>
      <c r="G12" s="1"/>
    </row>
    <row r="13" spans="1:7" x14ac:dyDescent="0.25">
      <c r="A13" s="1"/>
      <c r="B13" s="86" t="s">
        <v>134</v>
      </c>
      <c r="C13" s="87"/>
      <c r="D13" s="87"/>
      <c r="E13" s="87"/>
      <c r="F13" s="88"/>
      <c r="G13" s="1"/>
    </row>
    <row r="14" spans="1:7" x14ac:dyDescent="0.25">
      <c r="A14" s="1"/>
      <c r="B14" s="92" t="s">
        <v>204</v>
      </c>
      <c r="C14" s="93"/>
      <c r="D14" s="94"/>
      <c r="E14" s="9">
        <v>1045594</v>
      </c>
      <c r="F14" s="8" t="s">
        <v>3</v>
      </c>
      <c r="G14" s="1"/>
    </row>
    <row r="15" spans="1:7" x14ac:dyDescent="0.25">
      <c r="A15" s="1"/>
      <c r="B15" s="77" t="s">
        <v>205</v>
      </c>
      <c r="C15" s="78"/>
      <c r="D15" s="79"/>
      <c r="E15" s="9">
        <v>680193</v>
      </c>
      <c r="F15" s="8" t="s">
        <v>3</v>
      </c>
      <c r="G15" s="1"/>
    </row>
    <row r="16" spans="1:7" x14ac:dyDescent="0.25">
      <c r="A16" s="1"/>
      <c r="B16" s="90" t="s">
        <v>151</v>
      </c>
      <c r="C16" s="91"/>
      <c r="D16" s="101"/>
      <c r="E16" s="10">
        <f>E15-E14</f>
        <v>-365401</v>
      </c>
      <c r="F16" s="11" t="s">
        <v>3</v>
      </c>
      <c r="G16" s="1"/>
    </row>
    <row r="17" spans="1:7" x14ac:dyDescent="0.25">
      <c r="A17" s="1"/>
      <c r="B17" s="38" t="s">
        <v>206</v>
      </c>
      <c r="C17" s="32"/>
      <c r="D17" s="32"/>
      <c r="E17" s="12">
        <f>E12+E16</f>
        <v>-365401</v>
      </c>
      <c r="F17" s="13" t="s">
        <v>3</v>
      </c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aMWtu8s08S81YHdVk+q5YFZZrmHvGAYlR8NPUaLq0jdT0f9kN4rjeiUPqebhYxpyt5PX4L0RFqCNDhpEJyyp/Q==" saltValue="NOcjpk8iDQ1RZh9JkXhNaQ==" spinCount="100000" sheet="1" objects="1" scenarios="1"/>
  <mergeCells count="9">
    <mergeCell ref="B13:F13"/>
    <mergeCell ref="B16:D16"/>
    <mergeCell ref="B3:F4"/>
    <mergeCell ref="B10:D10"/>
    <mergeCell ref="B11:D11"/>
    <mergeCell ref="B14:D14"/>
    <mergeCell ref="B15:D15"/>
    <mergeCell ref="B9:F9"/>
    <mergeCell ref="B12:D12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5" t="s">
        <v>236</v>
      </c>
      <c r="C3" s="75"/>
      <c r="D3" s="75"/>
      <c r="E3" s="75"/>
      <c r="F3" s="75"/>
      <c r="G3" s="75"/>
      <c r="H3" s="75"/>
      <c r="I3" s="1"/>
    </row>
    <row r="4" spans="1:9" ht="15" customHeight="1" x14ac:dyDescent="0.25">
      <c r="A4" s="1"/>
      <c r="B4" s="75"/>
      <c r="C4" s="75"/>
      <c r="D4" s="75"/>
      <c r="E4" s="75"/>
      <c r="F4" s="75"/>
      <c r="G4" s="75"/>
      <c r="H4" s="75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6" t="s">
        <v>237</v>
      </c>
      <c r="C8" s="87"/>
      <c r="D8" s="87"/>
      <c r="E8" s="87"/>
      <c r="F8" s="87"/>
      <c r="G8" s="87"/>
      <c r="H8" s="88"/>
      <c r="I8" s="1"/>
    </row>
    <row r="9" spans="1:9" ht="39.75" customHeight="1" x14ac:dyDescent="0.25">
      <c r="A9" s="1"/>
      <c r="B9" s="19" t="s">
        <v>0</v>
      </c>
      <c r="C9" s="19" t="s">
        <v>1</v>
      </c>
      <c r="D9" s="19" t="s">
        <v>11</v>
      </c>
      <c r="E9" s="11" t="s">
        <v>2</v>
      </c>
      <c r="F9" s="11" t="s">
        <v>12</v>
      </c>
      <c r="G9" s="11" t="s">
        <v>37</v>
      </c>
      <c r="H9" s="37"/>
      <c r="I9" s="1"/>
    </row>
    <row r="10" spans="1:9" x14ac:dyDescent="0.25">
      <c r="A10" s="1"/>
      <c r="B10" s="56" t="s">
        <v>275</v>
      </c>
      <c r="C10" s="113"/>
      <c r="D10" s="9"/>
      <c r="E10" s="9">
        <f>IFERROR(D10/C10,0)</f>
        <v>0</v>
      </c>
      <c r="F10" s="9"/>
      <c r="G10" s="9"/>
      <c r="H10" s="14" t="s">
        <v>3</v>
      </c>
      <c r="I10" s="1"/>
    </row>
    <row r="11" spans="1:9" x14ac:dyDescent="0.25">
      <c r="A11" s="1"/>
      <c r="B11" s="86" t="s">
        <v>238</v>
      </c>
      <c r="C11" s="87"/>
      <c r="D11" s="88"/>
      <c r="E11" s="12">
        <f>SUM(E10:E10)</f>
        <v>0</v>
      </c>
      <c r="F11" s="12">
        <f>SUM(F10:F10)</f>
        <v>0</v>
      </c>
      <c r="G11" s="12">
        <f>SUM(G10:G10)</f>
        <v>0</v>
      </c>
      <c r="H11" s="13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r7ui0axaLvW5n08EREBOzXbDeKsNdbvwmsqPSKGN7LQsfwEy8HS+9DB0dZCY28U1hCQcF9jx3SatDxtx65alVA==" saltValue="KVeyBVvv/WaC+G+kEQFMMA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5" t="s">
        <v>168</v>
      </c>
      <c r="C3" s="75"/>
      <c r="D3" s="75"/>
      <c r="E3" s="75"/>
      <c r="F3" s="75"/>
      <c r="G3" s="1"/>
    </row>
    <row r="4" spans="1:7" ht="15" customHeight="1" x14ac:dyDescent="0.25">
      <c r="A4" s="1"/>
      <c r="B4" s="75"/>
      <c r="C4" s="75"/>
      <c r="D4" s="75"/>
      <c r="E4" s="75"/>
      <c r="F4" s="75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108</v>
      </c>
      <c r="C8" s="32"/>
      <c r="D8" s="32"/>
      <c r="E8" s="32"/>
      <c r="F8" s="20"/>
      <c r="G8" s="1"/>
    </row>
    <row r="9" spans="1:7" ht="17.25" customHeight="1" x14ac:dyDescent="0.25">
      <c r="A9" s="1"/>
      <c r="B9" s="51" t="s">
        <v>18</v>
      </c>
      <c r="C9" s="51" t="s">
        <v>12</v>
      </c>
      <c r="D9" s="53"/>
      <c r="E9" s="51" t="s">
        <v>38</v>
      </c>
      <c r="F9" s="37"/>
      <c r="G9" s="1"/>
    </row>
    <row r="10" spans="1:7" x14ac:dyDescent="0.25">
      <c r="A10" s="1"/>
      <c r="B10" s="25" t="s">
        <v>239</v>
      </c>
      <c r="C10" s="22">
        <f>'Fane 9. Anlægsprojekter'!F11</f>
        <v>0</v>
      </c>
      <c r="D10" s="14" t="s">
        <v>3</v>
      </c>
      <c r="E10" s="9">
        <f>SUM('Fane 9. Anlægsprojekter'!E11,'Fane 9. Anlægsprojekter'!G11)</f>
        <v>0</v>
      </c>
      <c r="F10" s="14" t="s">
        <v>3</v>
      </c>
      <c r="G10" s="1"/>
    </row>
    <row r="11" spans="1:7" x14ac:dyDescent="0.25">
      <c r="A11" s="1"/>
      <c r="B11" s="114" t="s">
        <v>273</v>
      </c>
      <c r="C11" s="22">
        <v>0</v>
      </c>
      <c r="D11" s="14" t="s">
        <v>3</v>
      </c>
      <c r="E11" s="9">
        <v>10491</v>
      </c>
      <c r="F11" s="14" t="s">
        <v>3</v>
      </c>
      <c r="G11" s="1"/>
    </row>
    <row r="12" spans="1:7" x14ac:dyDescent="0.25">
      <c r="A12" s="1"/>
      <c r="B12" s="38" t="s">
        <v>50</v>
      </c>
      <c r="C12" s="12">
        <f>SUM(C10:C11)</f>
        <v>0</v>
      </c>
      <c r="D12" s="13" t="s">
        <v>3</v>
      </c>
      <c r="E12" s="12">
        <f>SUM(E10:E11)</f>
        <v>10491</v>
      </c>
      <c r="F12" s="13" t="s">
        <v>3</v>
      </c>
      <c r="G12" s="1"/>
    </row>
    <row r="13" spans="1:7" x14ac:dyDescent="0.25">
      <c r="A13" s="1"/>
      <c r="B13" s="38" t="s">
        <v>219</v>
      </c>
      <c r="C13" s="12">
        <f>C12*(1+'Fane 14. Nøgletal'!C13)</f>
        <v>0</v>
      </c>
      <c r="D13" s="13" t="s">
        <v>3</v>
      </c>
      <c r="E13" s="12">
        <f>E12*(1+'Fane 14. Nøgletal'!C13)</f>
        <v>10618.9902</v>
      </c>
      <c r="F13" s="13" t="s">
        <v>3</v>
      </c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RZ5Vgtalh37B5USQnpkAyML/DYfaCOuO7g4W0sPe5kYGclrY80fcK7Rz8WsmNkUmiD191VJyarpawSl2q9lWsQ==" saltValue="Xm8gAyozmcvIu+tHBAyKHA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42578125" style="2" bestFit="1" customWidth="1"/>
    <col min="5" max="5" width="17.7109375" style="2" bestFit="1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5" t="s">
        <v>167</v>
      </c>
      <c r="C3" s="75"/>
      <c r="D3" s="75"/>
      <c r="E3" s="75"/>
      <c r="F3" s="75"/>
      <c r="G3" s="1"/>
    </row>
    <row r="4" spans="1:7" ht="15" customHeight="1" x14ac:dyDescent="0.25">
      <c r="A4" s="1"/>
      <c r="B4" s="75"/>
      <c r="C4" s="75"/>
      <c r="D4" s="75"/>
      <c r="E4" s="75"/>
      <c r="F4" s="75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6" t="s">
        <v>141</v>
      </c>
      <c r="C8" s="87"/>
      <c r="D8" s="87"/>
      <c r="E8" s="87"/>
      <c r="F8" s="88"/>
      <c r="G8" s="1"/>
    </row>
    <row r="9" spans="1:7" x14ac:dyDescent="0.25">
      <c r="A9" s="1"/>
      <c r="B9" s="51" t="s">
        <v>18</v>
      </c>
      <c r="C9" s="51" t="s">
        <v>12</v>
      </c>
      <c r="D9" s="53"/>
      <c r="E9" s="51" t="s">
        <v>38</v>
      </c>
      <c r="F9" s="37"/>
      <c r="G9" s="1"/>
    </row>
    <row r="10" spans="1:7" x14ac:dyDescent="0.25">
      <c r="A10" s="1"/>
      <c r="B10" s="25" t="s">
        <v>274</v>
      </c>
      <c r="C10" s="22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38" t="s">
        <v>220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27" t="s">
        <v>10</v>
      </c>
      <c r="C12" s="28">
        <f>-C11*'Fane 5. Individuelt eff. krav'!G11</f>
        <v>0</v>
      </c>
      <c r="D12" s="29" t="s">
        <v>3</v>
      </c>
      <c r="E12" s="28">
        <f>-E11*'Fane 5. Individuelt eff. krav'!G11</f>
        <v>0</v>
      </c>
      <c r="F12" s="29" t="s">
        <v>3</v>
      </c>
      <c r="G12" s="1"/>
    </row>
    <row r="13" spans="1:7" x14ac:dyDescent="0.25">
      <c r="A13" s="1"/>
      <c r="B13" s="27" t="s">
        <v>145</v>
      </c>
      <c r="C13" s="28">
        <f>-C11*'Fane 14. Nøgletal'!C27</f>
        <v>0</v>
      </c>
      <c r="D13" s="29" t="s">
        <v>3</v>
      </c>
      <c r="E13" s="28">
        <f>-E11*'Fane 14. Nøgletal'!C22</f>
        <v>0</v>
      </c>
      <c r="F13" s="29" t="s">
        <v>3</v>
      </c>
      <c r="G13" s="1"/>
    </row>
    <row r="14" spans="1:7" x14ac:dyDescent="0.25">
      <c r="A14" s="1"/>
      <c r="B14" s="38" t="s">
        <v>144</v>
      </c>
      <c r="C14" s="12">
        <f>SUM(C11:C13)*(1+'Fane 14. Nøgletal'!C13)^2</f>
        <v>0</v>
      </c>
      <c r="D14" s="13" t="s">
        <v>3</v>
      </c>
      <c r="E14" s="12">
        <f>SUM(E11:E13)*(1+'Fane 14. Nøgletal'!C13)^2</f>
        <v>0</v>
      </c>
      <c r="F14" s="13" t="s">
        <v>3</v>
      </c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86" t="s">
        <v>142</v>
      </c>
      <c r="C16" s="87"/>
      <c r="D16" s="87"/>
      <c r="E16" s="87"/>
      <c r="F16" s="88"/>
      <c r="G16" s="1"/>
    </row>
    <row r="17" spans="1:7" x14ac:dyDescent="0.25">
      <c r="A17" s="1"/>
      <c r="B17" s="51" t="s">
        <v>18</v>
      </c>
      <c r="C17" s="51" t="s">
        <v>12</v>
      </c>
      <c r="D17" s="53"/>
      <c r="E17" s="51" t="s">
        <v>38</v>
      </c>
      <c r="F17" s="37"/>
      <c r="G17" s="1"/>
    </row>
    <row r="18" spans="1:7" x14ac:dyDescent="0.25">
      <c r="A18" s="1"/>
      <c r="B18" s="25" t="s">
        <v>274</v>
      </c>
      <c r="C18" s="22">
        <v>0</v>
      </c>
      <c r="D18" s="14" t="s">
        <v>3</v>
      </c>
      <c r="E18" s="9">
        <v>0</v>
      </c>
      <c r="F18" s="14" t="s">
        <v>3</v>
      </c>
      <c r="G18" s="1"/>
    </row>
    <row r="19" spans="1:7" x14ac:dyDescent="0.25">
      <c r="A19" s="1"/>
      <c r="B19" s="38" t="s">
        <v>220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25">
      <c r="A20" s="1"/>
      <c r="B20" s="27" t="s">
        <v>10</v>
      </c>
      <c r="C20" s="28">
        <f>-C19*'Fane 5. Individuelt eff. krav'!G11</f>
        <v>0</v>
      </c>
      <c r="D20" s="29" t="s">
        <v>3</v>
      </c>
      <c r="E20" s="28">
        <f>-E19*'Fane 5. Individuelt eff. krav'!G11</f>
        <v>0</v>
      </c>
      <c r="F20" s="29" t="s">
        <v>3</v>
      </c>
      <c r="G20" s="1"/>
    </row>
    <row r="21" spans="1:7" x14ac:dyDescent="0.25">
      <c r="A21" s="1"/>
      <c r="B21" s="27" t="s">
        <v>145</v>
      </c>
      <c r="C21" s="28">
        <f>-C19*'Fane 14. Nøgletal'!C27</f>
        <v>0</v>
      </c>
      <c r="D21" s="29" t="s">
        <v>3</v>
      </c>
      <c r="E21" s="28">
        <f>-E19*'Fane 14. Nøgletal'!C22</f>
        <v>0</v>
      </c>
      <c r="F21" s="29" t="s">
        <v>3</v>
      </c>
      <c r="G21" s="1"/>
    </row>
    <row r="22" spans="1:7" x14ac:dyDescent="0.25">
      <c r="A22" s="1"/>
      <c r="B22" s="38" t="s">
        <v>221</v>
      </c>
      <c r="C22" s="12">
        <f>SUM(C19:C21)*(1+'Fane 14. Nøgletal'!C13)^3</f>
        <v>0</v>
      </c>
      <c r="D22" s="13" t="s">
        <v>3</v>
      </c>
      <c r="E22" s="12">
        <f>SUM(E19:E21)*(1+'Fane 14. Nøgletal'!C13)^3</f>
        <v>0</v>
      </c>
      <c r="F22" s="13" t="s">
        <v>3</v>
      </c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86" t="s">
        <v>143</v>
      </c>
      <c r="C24" s="87"/>
      <c r="D24" s="87"/>
      <c r="E24" s="87"/>
      <c r="F24" s="88"/>
      <c r="G24" s="1"/>
    </row>
    <row r="25" spans="1:7" x14ac:dyDescent="0.25">
      <c r="A25" s="1"/>
      <c r="B25" s="51" t="s">
        <v>18</v>
      </c>
      <c r="C25" s="51" t="s">
        <v>12</v>
      </c>
      <c r="D25" s="53"/>
      <c r="E25" s="51" t="s">
        <v>38</v>
      </c>
      <c r="F25" s="37"/>
      <c r="G25" s="1"/>
    </row>
    <row r="26" spans="1:7" x14ac:dyDescent="0.25">
      <c r="A26" s="1"/>
      <c r="B26" s="25" t="s">
        <v>274</v>
      </c>
      <c r="C26" s="22">
        <v>0</v>
      </c>
      <c r="D26" s="14" t="s">
        <v>3</v>
      </c>
      <c r="E26" s="9">
        <v>0</v>
      </c>
      <c r="F26" s="14" t="s">
        <v>3</v>
      </c>
      <c r="G26" s="1"/>
    </row>
    <row r="27" spans="1:7" x14ac:dyDescent="0.25">
      <c r="A27" s="1"/>
      <c r="B27" s="38" t="s">
        <v>220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25">
      <c r="A28" s="1"/>
      <c r="B28" s="27" t="s">
        <v>10</v>
      </c>
      <c r="C28" s="28">
        <f>-C27*'Fane 5. Individuelt eff. krav'!G11</f>
        <v>0</v>
      </c>
      <c r="D28" s="29" t="s">
        <v>3</v>
      </c>
      <c r="E28" s="28">
        <f>-E27*'Fane 5. Individuelt eff. krav'!G11</f>
        <v>0</v>
      </c>
      <c r="F28" s="29" t="s">
        <v>3</v>
      </c>
      <c r="G28" s="1"/>
    </row>
    <row r="29" spans="1:7" x14ac:dyDescent="0.25">
      <c r="A29" s="1"/>
      <c r="B29" s="27" t="s">
        <v>145</v>
      </c>
      <c r="C29" s="28">
        <f>-C27*'Fane 14. Nøgletal'!C27</f>
        <v>0</v>
      </c>
      <c r="D29" s="29" t="s">
        <v>3</v>
      </c>
      <c r="E29" s="28">
        <f>-E27*'Fane 14. Nøgletal'!C22</f>
        <v>0</v>
      </c>
      <c r="F29" s="29" t="s">
        <v>3</v>
      </c>
      <c r="G29" s="1"/>
    </row>
    <row r="30" spans="1:7" x14ac:dyDescent="0.25">
      <c r="A30" s="1"/>
      <c r="B30" s="38" t="s">
        <v>222</v>
      </c>
      <c r="C30" s="12">
        <f>SUM(C27:C29)*(1+'Fane 14. Nøgletal'!C13)^4</f>
        <v>0</v>
      </c>
      <c r="D30" s="13" t="s">
        <v>3</v>
      </c>
      <c r="E30" s="12">
        <f>SUM(E27:E29)*(1+'Fane 14. Nøgletal'!C13)^4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86" t="s">
        <v>223</v>
      </c>
      <c r="C32" s="87"/>
      <c r="D32" s="87"/>
      <c r="E32" s="87"/>
      <c r="F32" s="88"/>
      <c r="G32" s="1"/>
    </row>
    <row r="33" spans="1:7" x14ac:dyDescent="0.25">
      <c r="A33" s="1"/>
      <c r="B33" s="51" t="s">
        <v>18</v>
      </c>
      <c r="C33" s="51" t="s">
        <v>12</v>
      </c>
      <c r="D33" s="53"/>
      <c r="E33" s="51" t="s">
        <v>38</v>
      </c>
      <c r="F33" s="37"/>
      <c r="G33" s="1"/>
    </row>
    <row r="34" spans="1:7" x14ac:dyDescent="0.25">
      <c r="A34" s="1"/>
      <c r="B34" s="25" t="s">
        <v>274</v>
      </c>
      <c r="C34" s="22">
        <v>0</v>
      </c>
      <c r="D34" s="14" t="s">
        <v>3</v>
      </c>
      <c r="E34" s="9">
        <v>0</v>
      </c>
      <c r="F34" s="14" t="s">
        <v>3</v>
      </c>
      <c r="G34" s="1"/>
    </row>
    <row r="35" spans="1:7" x14ac:dyDescent="0.25">
      <c r="A35" s="1"/>
      <c r="B35" s="38" t="s">
        <v>220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25">
      <c r="A36" s="1"/>
      <c r="B36" s="27" t="s">
        <v>10</v>
      </c>
      <c r="C36" s="28">
        <f>-C35*'Fane 5. Individuelt eff. krav'!G11</f>
        <v>0</v>
      </c>
      <c r="D36" s="29" t="s">
        <v>3</v>
      </c>
      <c r="E36" s="28">
        <f>-E35*'Fane 5. Individuelt eff. krav'!G11</f>
        <v>0</v>
      </c>
      <c r="F36" s="29" t="s">
        <v>3</v>
      </c>
      <c r="G36" s="1"/>
    </row>
    <row r="37" spans="1:7" x14ac:dyDescent="0.25">
      <c r="A37" s="1"/>
      <c r="B37" s="27" t="s">
        <v>145</v>
      </c>
      <c r="C37" s="28">
        <f>-C35*'Fane 14. Nøgletal'!C27</f>
        <v>0</v>
      </c>
      <c r="D37" s="29" t="s">
        <v>3</v>
      </c>
      <c r="E37" s="28">
        <f>-E35*'Fane 14. Nøgletal'!C22</f>
        <v>0</v>
      </c>
      <c r="F37" s="29" t="s">
        <v>3</v>
      </c>
      <c r="G37" s="1"/>
    </row>
    <row r="38" spans="1:7" x14ac:dyDescent="0.25">
      <c r="A38" s="1"/>
      <c r="B38" s="38" t="s">
        <v>224</v>
      </c>
      <c r="C38" s="12">
        <f>SUM(C35:C37)*(1+'Fane 14. Nøgletal'!C13)^5</f>
        <v>0</v>
      </c>
      <c r="D38" s="13" t="s">
        <v>3</v>
      </c>
      <c r="E38" s="12">
        <f>SUM(E35:E37)*(1+'Fane 14. Nøgletal'!C13)^5</f>
        <v>0</v>
      </c>
      <c r="F38" s="13" t="s">
        <v>3</v>
      </c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iCqvJduuu4Kx09oH99aW1Sq+H7LZqF93rbalnCZFyeu70oCkRY5aQNMUmiWyjK8EOoDQQrHz9gpglgXoq+M4pA==" saltValue="Cf/u6yEmEeUqAkGtpNeLwQ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9" t="s">
        <v>169</v>
      </c>
      <c r="C3" s="89"/>
      <c r="D3" s="89"/>
      <c r="E3" s="89"/>
      <c r="F3" s="89"/>
      <c r="G3" s="1"/>
    </row>
    <row r="4" spans="1:7" ht="15" customHeight="1" x14ac:dyDescent="0.25">
      <c r="A4" s="1"/>
      <c r="B4" s="89"/>
      <c r="C4" s="89"/>
      <c r="D4" s="89"/>
      <c r="E4" s="89"/>
      <c r="F4" s="89"/>
      <c r="G4" s="1"/>
    </row>
    <row r="5" spans="1:7" x14ac:dyDescent="0.25">
      <c r="A5" s="1"/>
      <c r="B5" s="89"/>
      <c r="C5" s="89"/>
      <c r="D5" s="89"/>
      <c r="E5" s="89"/>
      <c r="F5" s="89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6" t="s">
        <v>125</v>
      </c>
      <c r="C8" s="87"/>
      <c r="D8" s="87"/>
      <c r="E8" s="87"/>
      <c r="F8" s="88"/>
      <c r="G8" s="1"/>
    </row>
    <row r="9" spans="1:7" x14ac:dyDescent="0.25">
      <c r="A9" s="1"/>
      <c r="B9" s="109" t="s">
        <v>207</v>
      </c>
      <c r="C9" s="110"/>
      <c r="D9" s="111"/>
      <c r="E9" s="9">
        <v>0</v>
      </c>
      <c r="F9" s="14" t="s">
        <v>3</v>
      </c>
      <c r="G9" s="1"/>
    </row>
    <row r="10" spans="1:7" x14ac:dyDescent="0.25">
      <c r="A10" s="1"/>
      <c r="B10" s="80" t="s">
        <v>10</v>
      </c>
      <c r="C10" s="81"/>
      <c r="D10" s="82"/>
      <c r="E10" s="9">
        <f>-E9*'Fane 5. Individuelt eff. krav'!G11</f>
        <v>0</v>
      </c>
      <c r="F10" s="14" t="s">
        <v>3</v>
      </c>
      <c r="G10" s="1"/>
    </row>
    <row r="11" spans="1:7" x14ac:dyDescent="0.25">
      <c r="A11" s="1"/>
      <c r="B11" s="80" t="s">
        <v>29</v>
      </c>
      <c r="C11" s="81"/>
      <c r="D11" s="82"/>
      <c r="E11" s="9">
        <f>-E9*'Fane 14. Nøgletal'!C27</f>
        <v>0</v>
      </c>
      <c r="F11" s="14" t="s">
        <v>3</v>
      </c>
      <c r="G11" s="1"/>
    </row>
    <row r="12" spans="1:7" x14ac:dyDescent="0.25">
      <c r="A12" s="1"/>
      <c r="B12" s="86" t="s">
        <v>128</v>
      </c>
      <c r="C12" s="87"/>
      <c r="D12" s="88"/>
      <c r="E12" s="12">
        <f>SUM(E9:E11)*(1+'Fane 14. Nøgletal'!C13)^2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86" t="s">
        <v>126</v>
      </c>
      <c r="C14" s="87"/>
      <c r="D14" s="87"/>
      <c r="E14" s="87"/>
      <c r="F14" s="88"/>
      <c r="G14" s="1"/>
    </row>
    <row r="15" spans="1:7" x14ac:dyDescent="0.25">
      <c r="A15" s="1"/>
      <c r="B15" s="109" t="s">
        <v>207</v>
      </c>
      <c r="C15" s="110"/>
      <c r="D15" s="111"/>
      <c r="E15" s="9">
        <v>0</v>
      </c>
      <c r="F15" s="14" t="s">
        <v>3</v>
      </c>
      <c r="G15" s="1"/>
    </row>
    <row r="16" spans="1:7" x14ac:dyDescent="0.25">
      <c r="A16" s="1"/>
      <c r="B16" s="80" t="s">
        <v>10</v>
      </c>
      <c r="C16" s="81"/>
      <c r="D16" s="82"/>
      <c r="E16" s="9">
        <f>-E15*'Fane 5. Individuelt eff. krav'!G11</f>
        <v>0</v>
      </c>
      <c r="F16" s="14" t="s">
        <v>3</v>
      </c>
      <c r="G16" s="1"/>
    </row>
    <row r="17" spans="1:7" x14ac:dyDescent="0.25">
      <c r="A17" s="1"/>
      <c r="B17" s="80" t="s">
        <v>29</v>
      </c>
      <c r="C17" s="81"/>
      <c r="D17" s="82"/>
      <c r="E17" s="9">
        <f>-E15*'Fane 14. Nøgletal'!C27</f>
        <v>0</v>
      </c>
      <c r="F17" s="14" t="s">
        <v>3</v>
      </c>
      <c r="G17" s="1"/>
    </row>
    <row r="18" spans="1:7" x14ac:dyDescent="0.25">
      <c r="A18" s="1"/>
      <c r="B18" s="86" t="s">
        <v>129</v>
      </c>
      <c r="C18" s="87"/>
      <c r="D18" s="88"/>
      <c r="E18" s="12">
        <f>SUM(E15:E17)*(1+'Fane 14. Nøgletal'!C13)^3</f>
        <v>0</v>
      </c>
      <c r="F18" s="13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86" t="s">
        <v>127</v>
      </c>
      <c r="C20" s="87"/>
      <c r="D20" s="87"/>
      <c r="E20" s="87"/>
      <c r="F20" s="88"/>
      <c r="G20" s="1"/>
    </row>
    <row r="21" spans="1:7" x14ac:dyDescent="0.25">
      <c r="A21" s="1"/>
      <c r="B21" s="109" t="s">
        <v>207</v>
      </c>
      <c r="C21" s="110"/>
      <c r="D21" s="111"/>
      <c r="E21" s="9">
        <v>0</v>
      </c>
      <c r="F21" s="14" t="s">
        <v>3</v>
      </c>
      <c r="G21" s="1"/>
    </row>
    <row r="22" spans="1:7" x14ac:dyDescent="0.25">
      <c r="A22" s="1"/>
      <c r="B22" s="80" t="s">
        <v>10</v>
      </c>
      <c r="C22" s="81"/>
      <c r="D22" s="82"/>
      <c r="E22" s="9">
        <f>-E21*'Fane 5. Individuelt eff. krav'!G11</f>
        <v>0</v>
      </c>
      <c r="F22" s="14" t="s">
        <v>3</v>
      </c>
      <c r="G22" s="1"/>
    </row>
    <row r="23" spans="1:7" x14ac:dyDescent="0.25">
      <c r="A23" s="1"/>
      <c r="B23" s="80" t="s">
        <v>29</v>
      </c>
      <c r="C23" s="81"/>
      <c r="D23" s="82"/>
      <c r="E23" s="9">
        <f>-E21*'Fane 14. Nøgletal'!C27</f>
        <v>0</v>
      </c>
      <c r="F23" s="14" t="s">
        <v>3</v>
      </c>
      <c r="G23" s="1"/>
    </row>
    <row r="24" spans="1:7" x14ac:dyDescent="0.25">
      <c r="A24" s="1"/>
      <c r="B24" s="86" t="s">
        <v>130</v>
      </c>
      <c r="C24" s="87"/>
      <c r="D24" s="88"/>
      <c r="E24" s="12">
        <f>SUM(E21:E23)*(1+'Fane 14. Nøgletal'!C13)^4</f>
        <v>0</v>
      </c>
      <c r="F24" s="13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86" t="s">
        <v>208</v>
      </c>
      <c r="C26" s="87"/>
      <c r="D26" s="87"/>
      <c r="E26" s="87"/>
      <c r="F26" s="88"/>
      <c r="G26" s="1"/>
    </row>
    <row r="27" spans="1:7" x14ac:dyDescent="0.25">
      <c r="A27" s="1"/>
      <c r="B27" s="109" t="s">
        <v>207</v>
      </c>
      <c r="C27" s="110"/>
      <c r="D27" s="111"/>
      <c r="E27" s="9">
        <v>0</v>
      </c>
      <c r="F27" s="14" t="s">
        <v>3</v>
      </c>
      <c r="G27" s="1"/>
    </row>
    <row r="28" spans="1:7" x14ac:dyDescent="0.25">
      <c r="A28" s="1"/>
      <c r="B28" s="80" t="s">
        <v>10</v>
      </c>
      <c r="C28" s="81"/>
      <c r="D28" s="82"/>
      <c r="E28" s="9">
        <f>-E27*'Fane 5. Individuelt eff. krav'!G11</f>
        <v>0</v>
      </c>
      <c r="F28" s="14" t="s">
        <v>3</v>
      </c>
      <c r="G28" s="1"/>
    </row>
    <row r="29" spans="1:7" x14ac:dyDescent="0.25">
      <c r="A29" s="1"/>
      <c r="B29" s="80" t="s">
        <v>29</v>
      </c>
      <c r="C29" s="81"/>
      <c r="D29" s="82"/>
      <c r="E29" s="9">
        <f>-E27*'Fane 14. Nøgletal'!C27</f>
        <v>0</v>
      </c>
      <c r="F29" s="14" t="s">
        <v>3</v>
      </c>
      <c r="G29" s="1"/>
    </row>
    <row r="30" spans="1:7" x14ac:dyDescent="0.25">
      <c r="A30" s="1"/>
      <c r="B30" s="86" t="s">
        <v>209</v>
      </c>
      <c r="C30" s="87"/>
      <c r="D30" s="88"/>
      <c r="E30" s="12">
        <f>SUM(E27:E29)*(1+'Fane 14. Nøgletal'!C13)^5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hsOclc8fMVbVOofOY6h8zcqWvuYUZUlp85gBgbSllI1+wIDn4qGoja641WTNBlcMDcbyNaCe/JS/3/KAjAG8ug==" saltValue="XcAaDHFnX7ORrJ787brGLg==" spinCount="100000" sheet="1" objects="1" scenarios="1"/>
  <mergeCells count="21">
    <mergeCell ref="B3:F5"/>
    <mergeCell ref="B8:F8"/>
    <mergeCell ref="B9:D9"/>
    <mergeCell ref="B18:D18"/>
    <mergeCell ref="B20:F20"/>
    <mergeCell ref="B14:F14"/>
    <mergeCell ref="B15:D15"/>
    <mergeCell ref="B12:D12"/>
    <mergeCell ref="B10:D10"/>
    <mergeCell ref="B11:D11"/>
    <mergeCell ref="B16:D16"/>
    <mergeCell ref="B17:D17"/>
    <mergeCell ref="B30:D30"/>
    <mergeCell ref="B26:F26"/>
    <mergeCell ref="B27:D27"/>
    <mergeCell ref="B24:D24"/>
    <mergeCell ref="B21:D21"/>
    <mergeCell ref="B22:D22"/>
    <mergeCell ref="B23:D23"/>
    <mergeCell ref="B28:D28"/>
    <mergeCell ref="B29:D29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5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36.42578125" style="2" customWidth="1"/>
    <col min="3" max="3" width="15.5703125" style="2" customWidth="1"/>
    <col min="4" max="4" width="3.28515625" style="2" customWidth="1"/>
    <col min="5" max="5" width="17.1406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9" t="s">
        <v>210</v>
      </c>
      <c r="C3" s="89"/>
      <c r="D3" s="89"/>
      <c r="E3" s="89"/>
      <c r="F3" s="89"/>
      <c r="G3" s="1"/>
    </row>
    <row r="4" spans="1:7" ht="25.5" customHeight="1" x14ac:dyDescent="0.25">
      <c r="A4" s="1"/>
      <c r="B4" s="89"/>
      <c r="C4" s="89"/>
      <c r="D4" s="89"/>
      <c r="E4" s="89"/>
      <c r="F4" s="8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6" t="s">
        <v>211</v>
      </c>
      <c r="C8" s="87"/>
      <c r="D8" s="87"/>
      <c r="E8" s="87"/>
      <c r="F8" s="88"/>
      <c r="G8" s="1"/>
    </row>
    <row r="9" spans="1:7" ht="15" customHeight="1" x14ac:dyDescent="0.25">
      <c r="A9" s="1"/>
      <c r="B9" s="36" t="s">
        <v>212</v>
      </c>
      <c r="C9" s="36" t="s">
        <v>12</v>
      </c>
      <c r="D9" s="37"/>
      <c r="E9" s="36" t="s">
        <v>38</v>
      </c>
      <c r="F9" s="37"/>
      <c r="G9" s="1"/>
    </row>
    <row r="10" spans="1:7" x14ac:dyDescent="0.25">
      <c r="A10" s="1"/>
      <c r="B10" s="25" t="s">
        <v>271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25">
      <c r="A11" s="1"/>
      <c r="B11" s="21" t="s">
        <v>213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25">
      <c r="A12" s="1"/>
      <c r="B12" s="21" t="s">
        <v>225</v>
      </c>
      <c r="C12" s="12">
        <f>C11*(1+'Fane 14. Nøgletal'!C13)</f>
        <v>0</v>
      </c>
      <c r="D12" s="13" t="s">
        <v>3</v>
      </c>
      <c r="E12" s="12">
        <f>E11*(1+'Fane 14. Nøgletal'!C13)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</sheetData>
  <sheetProtection algorithmName="SHA-512" hashValue="WYN4qKo8QVw5L1zyt4k9Cq5MEHVJqA/EUveZnrH3U+ztpU6eyXFQq/IBB4oG1faM7qOBFmK4mITYObbLjxX2AA==" saltValue="KT634l2okTWDKLqeZ0i4tw==" spinCount="100000" sheet="1" objects="1" scenarios="1"/>
  <mergeCells count="2">
    <mergeCell ref="B3:F4"/>
    <mergeCell ref="B8:F8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9" t="s">
        <v>166</v>
      </c>
      <c r="C3" s="89"/>
      <c r="D3" s="89"/>
      <c r="E3" s="89"/>
      <c r="F3" s="89"/>
      <c r="G3" s="1"/>
    </row>
    <row r="4" spans="1:7" ht="25.5" customHeight="1" x14ac:dyDescent="0.25">
      <c r="A4" s="1"/>
      <c r="B4" s="89"/>
      <c r="C4" s="89"/>
      <c r="D4" s="89"/>
      <c r="E4" s="89"/>
      <c r="F4" s="8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6" t="s">
        <v>132</v>
      </c>
      <c r="C8" s="87"/>
      <c r="D8" s="87"/>
      <c r="E8" s="87"/>
      <c r="F8" s="88"/>
      <c r="G8" s="1"/>
    </row>
    <row r="9" spans="1:7" ht="15" customHeight="1" x14ac:dyDescent="0.25">
      <c r="A9" s="1"/>
      <c r="B9" s="36" t="s">
        <v>19</v>
      </c>
      <c r="C9" s="36" t="s">
        <v>12</v>
      </c>
      <c r="D9" s="37"/>
      <c r="E9" s="36" t="s">
        <v>38</v>
      </c>
      <c r="F9" s="37"/>
      <c r="G9" s="1"/>
    </row>
    <row r="10" spans="1:7" x14ac:dyDescent="0.25">
      <c r="A10" s="1"/>
      <c r="B10" s="25" t="s">
        <v>272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38" t="s">
        <v>51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38" t="s">
        <v>119</v>
      </c>
      <c r="C12" s="12">
        <f>C11*(1+'Fane 14. Nøgletal'!C13)</f>
        <v>0</v>
      </c>
      <c r="D12" s="13" t="s">
        <v>3</v>
      </c>
      <c r="E12" s="12">
        <f>E11*(1+'Fane 14. Nøgletal'!C13)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86" t="s">
        <v>131</v>
      </c>
      <c r="C14" s="87"/>
      <c r="D14" s="87"/>
      <c r="E14" s="87"/>
      <c r="F14" s="88"/>
      <c r="G14" s="1"/>
    </row>
    <row r="15" spans="1:7" ht="26.25" x14ac:dyDescent="0.25">
      <c r="A15" s="1"/>
      <c r="B15" s="36" t="s">
        <v>19</v>
      </c>
      <c r="C15" s="36" t="s">
        <v>12</v>
      </c>
      <c r="D15" s="37"/>
      <c r="E15" s="36" t="s">
        <v>38</v>
      </c>
      <c r="F15" s="37"/>
      <c r="G15" s="1"/>
    </row>
    <row r="16" spans="1:7" x14ac:dyDescent="0.25">
      <c r="A16" s="1"/>
      <c r="B16" s="25" t="s">
        <v>272</v>
      </c>
      <c r="C16" s="9">
        <v>0</v>
      </c>
      <c r="D16" s="14" t="s">
        <v>3</v>
      </c>
      <c r="E16" s="9">
        <v>0</v>
      </c>
      <c r="F16" s="14" t="s">
        <v>3</v>
      </c>
      <c r="G16" s="1"/>
    </row>
    <row r="17" spans="1:7" x14ac:dyDescent="0.25">
      <c r="A17" s="1"/>
      <c r="B17" s="38" t="s">
        <v>51</v>
      </c>
      <c r="C17" s="12">
        <f>SUM(C16:C16)</f>
        <v>0</v>
      </c>
      <c r="D17" s="13" t="s">
        <v>3</v>
      </c>
      <c r="E17" s="12">
        <f>SUM(E16:E16)</f>
        <v>0</v>
      </c>
      <c r="F17" s="13" t="s">
        <v>3</v>
      </c>
      <c r="G17" s="1"/>
    </row>
    <row r="18" spans="1:7" x14ac:dyDescent="0.25">
      <c r="A18" s="1"/>
      <c r="B18" s="38" t="s">
        <v>120</v>
      </c>
      <c r="C18" s="12">
        <f>C17*(1+'Fane 14. Nøgletal'!C13)^2</f>
        <v>0</v>
      </c>
      <c r="D18" s="13" t="s">
        <v>3</v>
      </c>
      <c r="E18" s="12">
        <f>E17*(1+'Fane 14. Nøgletal'!C13)^2</f>
        <v>0</v>
      </c>
      <c r="F18" s="13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86" t="s">
        <v>133</v>
      </c>
      <c r="C20" s="87"/>
      <c r="D20" s="87"/>
      <c r="E20" s="87"/>
      <c r="F20" s="88"/>
      <c r="G20" s="1"/>
    </row>
    <row r="21" spans="1:7" ht="26.25" x14ac:dyDescent="0.25">
      <c r="A21" s="1"/>
      <c r="B21" s="36" t="s">
        <v>19</v>
      </c>
      <c r="C21" s="36" t="s">
        <v>12</v>
      </c>
      <c r="D21" s="37"/>
      <c r="E21" s="36" t="s">
        <v>38</v>
      </c>
      <c r="F21" s="37"/>
      <c r="G21" s="1"/>
    </row>
    <row r="22" spans="1:7" x14ac:dyDescent="0.25">
      <c r="A22" s="1"/>
      <c r="B22" s="25" t="s">
        <v>272</v>
      </c>
      <c r="C22" s="9">
        <v>0</v>
      </c>
      <c r="D22" s="14" t="s">
        <v>3</v>
      </c>
      <c r="E22" s="9">
        <v>0</v>
      </c>
      <c r="F22" s="14" t="s">
        <v>3</v>
      </c>
      <c r="G22" s="1"/>
    </row>
    <row r="23" spans="1:7" x14ac:dyDescent="0.25">
      <c r="A23" s="1"/>
      <c r="B23" s="38" t="s">
        <v>51</v>
      </c>
      <c r="C23" s="12">
        <f>SUM(C22:C22)</f>
        <v>0</v>
      </c>
      <c r="D23" s="13" t="s">
        <v>3</v>
      </c>
      <c r="E23" s="12">
        <f>SUM(E22:E22)</f>
        <v>0</v>
      </c>
      <c r="F23" s="13" t="s">
        <v>3</v>
      </c>
      <c r="G23" s="1"/>
    </row>
    <row r="24" spans="1:7" x14ac:dyDescent="0.25">
      <c r="A24" s="1"/>
      <c r="B24" s="38" t="s">
        <v>121</v>
      </c>
      <c r="C24" s="12">
        <f>C23*(1+'Fane 14. Nøgletal'!C13)^3</f>
        <v>0</v>
      </c>
      <c r="D24" s="13" t="s">
        <v>3</v>
      </c>
      <c r="E24" s="12">
        <f>E23*(1+'Fane 14. Nøgletal'!C13)^3</f>
        <v>0</v>
      </c>
      <c r="F24" s="13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86" t="s">
        <v>227</v>
      </c>
      <c r="C26" s="87"/>
      <c r="D26" s="87"/>
      <c r="E26" s="87"/>
      <c r="F26" s="88"/>
      <c r="G26" s="1"/>
    </row>
    <row r="27" spans="1:7" ht="26.25" x14ac:dyDescent="0.25">
      <c r="A27" s="1"/>
      <c r="B27" s="36" t="s">
        <v>19</v>
      </c>
      <c r="C27" s="36" t="s">
        <v>12</v>
      </c>
      <c r="D27" s="37"/>
      <c r="E27" s="36" t="s">
        <v>38</v>
      </c>
      <c r="F27" s="37"/>
      <c r="G27" s="1"/>
    </row>
    <row r="28" spans="1:7" x14ac:dyDescent="0.25">
      <c r="A28" s="1"/>
      <c r="B28" s="25" t="s">
        <v>272</v>
      </c>
      <c r="C28" s="9">
        <v>0</v>
      </c>
      <c r="D28" s="14" t="s">
        <v>3</v>
      </c>
      <c r="E28" s="9">
        <v>0</v>
      </c>
      <c r="F28" s="14" t="s">
        <v>3</v>
      </c>
      <c r="G28" s="1"/>
    </row>
    <row r="29" spans="1:7" x14ac:dyDescent="0.25">
      <c r="A29" s="1"/>
      <c r="B29" s="38" t="s">
        <v>51</v>
      </c>
      <c r="C29" s="12">
        <f>SUM(C28:C28)</f>
        <v>0</v>
      </c>
      <c r="D29" s="13" t="s">
        <v>3</v>
      </c>
      <c r="E29" s="12">
        <f>SUM(E28:E28)</f>
        <v>0</v>
      </c>
      <c r="F29" s="13" t="s">
        <v>3</v>
      </c>
      <c r="G29" s="1"/>
    </row>
    <row r="30" spans="1:7" x14ac:dyDescent="0.25">
      <c r="A30" s="1"/>
      <c r="B30" s="38" t="s">
        <v>228</v>
      </c>
      <c r="C30" s="12">
        <f>C29*(1+'Fane 14. Nøgletal'!C13)^4</f>
        <v>0</v>
      </c>
      <c r="D30" s="13" t="s">
        <v>3</v>
      </c>
      <c r="E30" s="12">
        <f>E29*(1+'Fane 14. Nøgletal'!C13)^4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QFksRp7iCFeW43mJMP9xZIWAbA0VV6AZxYmphqAPQWhxTPrT/ccV5o2H11r2IUtMUIGAv3wArhQERpZx8mY6jg==" saltValue="3jAcGMjyfAd+gOsjSMZFdw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D49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5.4257812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89" t="s">
        <v>257</v>
      </c>
      <c r="C3" s="89"/>
      <c r="D3" s="1"/>
    </row>
    <row r="4" spans="1:4" ht="25.5" customHeight="1" x14ac:dyDescent="0.25">
      <c r="A4" s="1"/>
      <c r="B4" s="89"/>
      <c r="C4" s="89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38" t="s">
        <v>15</v>
      </c>
      <c r="C8" s="20"/>
      <c r="D8" s="1"/>
    </row>
    <row r="9" spans="1:4" x14ac:dyDescent="0.25">
      <c r="A9" s="1"/>
      <c r="B9" s="54" t="s">
        <v>170</v>
      </c>
      <c r="C9" s="26">
        <v>1.2699999999999999E-2</v>
      </c>
      <c r="D9" s="1"/>
    </row>
    <row r="10" spans="1:4" x14ac:dyDescent="0.25">
      <c r="A10" s="1"/>
      <c r="B10" s="54" t="s">
        <v>171</v>
      </c>
      <c r="C10" s="26">
        <v>1.7500000000000002E-2</v>
      </c>
      <c r="D10" s="1"/>
    </row>
    <row r="11" spans="1:4" x14ac:dyDescent="0.25">
      <c r="A11" s="1"/>
      <c r="B11" s="54" t="s">
        <v>24</v>
      </c>
      <c r="C11" s="26">
        <v>1.6899999999999998E-2</v>
      </c>
      <c r="D11" s="1"/>
    </row>
    <row r="12" spans="1:4" x14ac:dyDescent="0.25">
      <c r="A12" s="1"/>
      <c r="B12" s="39" t="s">
        <v>172</v>
      </c>
      <c r="C12" s="40">
        <v>1.9699999999999999E-2</v>
      </c>
      <c r="D12" s="1"/>
    </row>
    <row r="13" spans="1:4" x14ac:dyDescent="0.25">
      <c r="A13" s="1"/>
      <c r="B13" s="39" t="s">
        <v>217</v>
      </c>
      <c r="C13" s="40">
        <v>1.2200000000000001E-2</v>
      </c>
      <c r="D13" s="1"/>
    </row>
    <row r="14" spans="1:4" x14ac:dyDescent="0.25">
      <c r="A14" s="1"/>
      <c r="B14" s="38"/>
      <c r="C14" s="20"/>
      <c r="D14" s="1"/>
    </row>
    <row r="15" spans="1:4" x14ac:dyDescent="0.25">
      <c r="A15" s="1"/>
      <c r="B15" s="1"/>
      <c r="C15" s="1"/>
      <c r="D15" s="1"/>
    </row>
    <row r="16" spans="1:4" x14ac:dyDescent="0.25">
      <c r="A16" s="1"/>
      <c r="B16" s="1"/>
      <c r="C16" s="1"/>
      <c r="D16" s="1"/>
    </row>
    <row r="17" spans="1:4" x14ac:dyDescent="0.25">
      <c r="A17" s="1"/>
      <c r="B17" s="38" t="s">
        <v>153</v>
      </c>
      <c r="C17" s="20"/>
      <c r="D17" s="1"/>
    </row>
    <row r="18" spans="1:4" x14ac:dyDescent="0.25">
      <c r="A18" s="1"/>
      <c r="B18" s="54" t="s">
        <v>173</v>
      </c>
      <c r="C18" s="23">
        <v>9.1000000000000004E-3</v>
      </c>
      <c r="D18" s="1"/>
    </row>
    <row r="19" spans="1:4" x14ac:dyDescent="0.25">
      <c r="A19" s="1"/>
      <c r="B19" s="54" t="s">
        <v>174</v>
      </c>
      <c r="C19" s="23">
        <v>1.77E-2</v>
      </c>
      <c r="D19" s="1"/>
    </row>
    <row r="20" spans="1:4" x14ac:dyDescent="0.25">
      <c r="A20" s="1"/>
      <c r="B20" s="54" t="s">
        <v>175</v>
      </c>
      <c r="C20" s="23">
        <v>8.6999999999999994E-3</v>
      </c>
      <c r="D20" s="1"/>
    </row>
    <row r="21" spans="1:4" x14ac:dyDescent="0.25">
      <c r="A21" s="1"/>
      <c r="B21" s="54" t="s">
        <v>176</v>
      </c>
      <c r="C21" s="41">
        <v>2.8400000000000002E-2</v>
      </c>
      <c r="D21" s="1"/>
    </row>
    <row r="22" spans="1:4" x14ac:dyDescent="0.25">
      <c r="A22" s="1"/>
      <c r="B22" s="54" t="s">
        <v>229</v>
      </c>
      <c r="C22" s="41">
        <f>2.75%</f>
        <v>2.75E-2</v>
      </c>
      <c r="D22" s="1"/>
    </row>
    <row r="23" spans="1:4" x14ac:dyDescent="0.25">
      <c r="A23" s="1"/>
      <c r="B23" s="38"/>
      <c r="C23" s="20"/>
      <c r="D23" s="1"/>
    </row>
    <row r="24" spans="1:4" x14ac:dyDescent="0.25">
      <c r="A24" s="1"/>
      <c r="B24" s="1"/>
      <c r="C24" s="1"/>
      <c r="D24" s="1"/>
    </row>
    <row r="25" spans="1:4" x14ac:dyDescent="0.25">
      <c r="A25" s="1"/>
      <c r="B25" s="1"/>
      <c r="C25" s="1"/>
      <c r="D25" s="1"/>
    </row>
    <row r="26" spans="1:4" x14ac:dyDescent="0.25">
      <c r="A26" s="1"/>
      <c r="B26" s="38" t="s">
        <v>154</v>
      </c>
      <c r="C26" s="20"/>
      <c r="D26" s="1"/>
    </row>
    <row r="27" spans="1:4" x14ac:dyDescent="0.25">
      <c r="A27" s="1"/>
      <c r="B27" s="54" t="s">
        <v>177</v>
      </c>
      <c r="C27" s="26">
        <v>0.02</v>
      </c>
      <c r="D27" s="1"/>
    </row>
    <row r="28" spans="1:4" x14ac:dyDescent="0.25">
      <c r="A28" s="1"/>
      <c r="B28" s="38"/>
      <c r="C28" s="20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</sheetData>
  <sheetProtection algorithmName="SHA-512" hashValue="PSfQFFzz0EB5pXPPcBVwVpb+DMDQ4sivYYdeVjnjcPdGVTNl9kmNJfkFJJ8wN2Lf3WNu3o1oqbDEL1yNao6oCg==" saltValue="rVfM1sWGSbnUi2fzmBLDjw==" spinCount="100000" sheet="1" objects="1" scenarios="1"/>
  <mergeCells count="1">
    <mergeCell ref="B3:C4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47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58.5703125" style="2" customWidth="1"/>
    <col min="3" max="3" width="12.5703125" style="2" customWidth="1"/>
    <col min="4" max="4" width="2.85546875" style="2" bestFit="1" customWidth="1"/>
    <col min="5" max="5" width="6.28515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5" t="s">
        <v>185</v>
      </c>
      <c r="C3" s="75"/>
      <c r="D3" s="75"/>
      <c r="E3" s="1"/>
    </row>
    <row r="4" spans="1:5" ht="15" customHeight="1" x14ac:dyDescent="0.25">
      <c r="A4" s="1"/>
      <c r="B4" s="75"/>
      <c r="C4" s="75"/>
      <c r="D4" s="75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x14ac:dyDescent="0.25">
      <c r="A9" s="1"/>
      <c r="B9" s="33" t="s">
        <v>27</v>
      </c>
      <c r="C9" s="7">
        <f>'Fane 3. Omkostninger i ØR2020'!E20</f>
        <v>67081918.168176569</v>
      </c>
      <c r="D9" s="8" t="s">
        <v>3</v>
      </c>
      <c r="E9" s="1"/>
    </row>
    <row r="10" spans="1:5" ht="17.100000000000001" customHeight="1" x14ac:dyDescent="0.25">
      <c r="A10" s="1"/>
      <c r="B10" s="48" t="s">
        <v>48</v>
      </c>
      <c r="C10" s="7">
        <f>'Fane 10.1. Varige tillæg'!C13</f>
        <v>0</v>
      </c>
      <c r="D10" s="8" t="s">
        <v>3</v>
      </c>
      <c r="E10" s="1"/>
    </row>
    <row r="11" spans="1:5" ht="17.100000000000001" customHeight="1" x14ac:dyDescent="0.25">
      <c r="A11" s="1"/>
      <c r="B11" s="48" t="s">
        <v>49</v>
      </c>
      <c r="C11" s="9">
        <f>'Fane 10.1. Varige tillæg'!E13</f>
        <v>10618.9902</v>
      </c>
      <c r="D11" s="8" t="s">
        <v>3</v>
      </c>
      <c r="E11" s="1"/>
    </row>
    <row r="12" spans="1:5" ht="17.100000000000001" customHeight="1" x14ac:dyDescent="0.25">
      <c r="A12" s="1"/>
      <c r="B12" s="48" t="s">
        <v>32</v>
      </c>
      <c r="C12" s="9">
        <f>-'Fane 13. Bortfald'!C12</f>
        <v>0</v>
      </c>
      <c r="D12" s="8" t="s">
        <v>3</v>
      </c>
      <c r="E12" s="1"/>
    </row>
    <row r="13" spans="1:5" ht="17.100000000000001" customHeight="1" x14ac:dyDescent="0.25">
      <c r="A13" s="1"/>
      <c r="B13" s="48" t="s">
        <v>31</v>
      </c>
      <c r="C13" s="9">
        <f>-'Fane 13. Bortfald'!E12</f>
        <v>0</v>
      </c>
      <c r="D13" s="8" t="s">
        <v>3</v>
      </c>
      <c r="E13" s="1"/>
    </row>
    <row r="14" spans="1:5" ht="17.100000000000001" customHeight="1" x14ac:dyDescent="0.25">
      <c r="A14" s="1"/>
      <c r="B14" s="48" t="s">
        <v>186</v>
      </c>
      <c r="C14" s="9">
        <f>'Fane 12. Tilknyttet virksomhed'!C12</f>
        <v>0</v>
      </c>
      <c r="D14" s="8" t="s">
        <v>3</v>
      </c>
      <c r="E14" s="1"/>
    </row>
    <row r="15" spans="1:5" ht="17.100000000000001" customHeight="1" x14ac:dyDescent="0.25">
      <c r="A15" s="1"/>
      <c r="B15" s="48" t="s">
        <v>187</v>
      </c>
      <c r="C15" s="9">
        <f>'Fane 12. Tilknyttet virksomhed'!E12</f>
        <v>0</v>
      </c>
      <c r="D15" s="8" t="s">
        <v>3</v>
      </c>
      <c r="E15" s="1"/>
    </row>
    <row r="16" spans="1:5" ht="17.100000000000001" customHeight="1" x14ac:dyDescent="0.25">
      <c r="A16" s="1"/>
      <c r="B16" s="48" t="s">
        <v>20</v>
      </c>
      <c r="C16" s="9">
        <f>C9*'Fane 14. Nøgletal'!C12+SUM(C10:C15)*'Fane 14. Nøgletal'!C13</f>
        <v>1321643.3395935185</v>
      </c>
      <c r="D16" s="8" t="s">
        <v>3</v>
      </c>
      <c r="E16" s="1"/>
    </row>
    <row r="17" spans="1:5" ht="17.100000000000001" customHeight="1" x14ac:dyDescent="0.25">
      <c r="A17" s="1"/>
      <c r="B17" s="48" t="s">
        <v>10</v>
      </c>
      <c r="C17" s="9">
        <f>-SUM(C9:C16)*'Fane 5. Individuelt eff. krav'!G11</f>
        <v>-234832.28636933176</v>
      </c>
      <c r="D17" s="8" t="s">
        <v>3</v>
      </c>
      <c r="E17" s="1"/>
    </row>
    <row r="18" spans="1:5" ht="17.100000000000001" customHeight="1" x14ac:dyDescent="0.25">
      <c r="A18" s="1"/>
      <c r="B18" s="48" t="s">
        <v>29</v>
      </c>
      <c r="C18" s="9">
        <f>-'Fane 4.1. Gen. krav - drift'!G34</f>
        <v>-565212.32284573559</v>
      </c>
      <c r="D18" s="8" t="s">
        <v>3</v>
      </c>
      <c r="E18" s="1"/>
    </row>
    <row r="19" spans="1:5" ht="17.100000000000001" customHeight="1" x14ac:dyDescent="0.25">
      <c r="A19" s="1"/>
      <c r="B19" s="48" t="s">
        <v>30</v>
      </c>
      <c r="C19" s="9">
        <f>-'Fane 4.2. Gen. krav - anlæg'!G31</f>
        <v>-1153165.60406255</v>
      </c>
      <c r="D19" s="8" t="s">
        <v>3</v>
      </c>
      <c r="E19" s="1"/>
    </row>
    <row r="20" spans="1:5" ht="17.100000000000001" customHeight="1" x14ac:dyDescent="0.25">
      <c r="A20" s="1"/>
      <c r="B20" s="49" t="s">
        <v>22</v>
      </c>
      <c r="C20" s="10">
        <f>SUM(C9:C19)</f>
        <v>66460970.284692459</v>
      </c>
      <c r="D20" s="11" t="s">
        <v>3</v>
      </c>
      <c r="E20" s="1"/>
    </row>
    <row r="21" spans="1:5" ht="15" customHeight="1" x14ac:dyDescent="0.25">
      <c r="A21" s="1"/>
      <c r="B21" s="38" t="s">
        <v>13</v>
      </c>
      <c r="C21" s="32"/>
      <c r="D21" s="20"/>
      <c r="E21" s="1"/>
    </row>
    <row r="22" spans="1:5" ht="15" customHeight="1" x14ac:dyDescent="0.25">
      <c r="A22" s="1"/>
      <c r="B22" s="36" t="s">
        <v>13</v>
      </c>
      <c r="C22" s="10">
        <f>'Fane 6. Ikke-påvirkelige omk.'!C17+'Fane 6. Ikke-påvirkelige omk.'!C21+'Fane 6. Ikke-påvirkelige omk.'!C29</f>
        <v>4183168.9603066058</v>
      </c>
      <c r="D22" s="11" t="s">
        <v>3</v>
      </c>
      <c r="E22" s="1"/>
    </row>
    <row r="23" spans="1:5" ht="15" customHeight="1" x14ac:dyDescent="0.25">
      <c r="A23" s="1"/>
      <c r="B23" s="38" t="s">
        <v>114</v>
      </c>
      <c r="C23" s="32"/>
      <c r="D23" s="20"/>
      <c r="E23" s="1"/>
    </row>
    <row r="24" spans="1:5" ht="15" customHeight="1" x14ac:dyDescent="0.25">
      <c r="A24" s="1"/>
      <c r="B24" s="49" t="s">
        <v>114</v>
      </c>
      <c r="C24" s="10">
        <f>'Fane 11. Periodevise driftsomk.'!E12</f>
        <v>0</v>
      </c>
      <c r="D24" s="11" t="s">
        <v>3</v>
      </c>
      <c r="E24" s="1"/>
    </row>
    <row r="25" spans="1:5" ht="15" customHeight="1" x14ac:dyDescent="0.25">
      <c r="A25" s="1"/>
      <c r="B25" s="38" t="s">
        <v>113</v>
      </c>
      <c r="C25" s="32"/>
      <c r="D25" s="20"/>
      <c r="E25" s="1"/>
    </row>
    <row r="26" spans="1:5" ht="15" customHeight="1" x14ac:dyDescent="0.25">
      <c r="A26" s="1"/>
      <c r="B26" s="48" t="s">
        <v>109</v>
      </c>
      <c r="C26" s="9">
        <f>'Fane 10.2. Engangstillæg'!C14</f>
        <v>0</v>
      </c>
      <c r="D26" s="8" t="s">
        <v>3</v>
      </c>
      <c r="E26" s="1"/>
    </row>
    <row r="27" spans="1:5" ht="15" customHeight="1" x14ac:dyDescent="0.25">
      <c r="A27" s="1"/>
      <c r="B27" s="48" t="s">
        <v>110</v>
      </c>
      <c r="C27" s="9">
        <f>'Fane 10.2. Engangstillæg'!E14</f>
        <v>0</v>
      </c>
      <c r="D27" s="8" t="s">
        <v>3</v>
      </c>
      <c r="E27" s="1"/>
    </row>
    <row r="28" spans="1:5" x14ac:dyDescent="0.25">
      <c r="A28" s="1"/>
      <c r="B28" s="49" t="s">
        <v>115</v>
      </c>
      <c r="C28" s="10">
        <f>SUM(C26:C27)</f>
        <v>0</v>
      </c>
      <c r="D28" s="11" t="s">
        <v>3</v>
      </c>
      <c r="E28" s="1"/>
    </row>
    <row r="29" spans="1:5" x14ac:dyDescent="0.25">
      <c r="A29" s="1"/>
      <c r="B29" s="38" t="s">
        <v>252</v>
      </c>
      <c r="C29" s="32"/>
      <c r="D29" s="20"/>
      <c r="E29" s="1"/>
    </row>
    <row r="30" spans="1:5" x14ac:dyDescent="0.25">
      <c r="A30" s="1"/>
      <c r="B30" s="36" t="s">
        <v>244</v>
      </c>
      <c r="C30" s="10">
        <f>'Fane 7. Kontrol af ØR2019'!E32</f>
        <v>0</v>
      </c>
      <c r="D30" s="11" t="s">
        <v>3</v>
      </c>
      <c r="E30" s="1"/>
    </row>
    <row r="31" spans="1:5" ht="15" customHeight="1" x14ac:dyDescent="0.25">
      <c r="A31" s="1"/>
      <c r="B31" s="38" t="s">
        <v>184</v>
      </c>
      <c r="C31" s="32"/>
      <c r="D31" s="20"/>
      <c r="E31" s="1"/>
    </row>
    <row r="32" spans="1:5" x14ac:dyDescent="0.25">
      <c r="A32" s="1"/>
      <c r="B32" s="36" t="s">
        <v>184</v>
      </c>
      <c r="C32" s="10">
        <f>'Fane 8. Korrektion af ØR2019'!E17</f>
        <v>-365401</v>
      </c>
      <c r="D32" s="11" t="s">
        <v>3</v>
      </c>
      <c r="E32" s="1"/>
    </row>
    <row r="33" spans="1:5" x14ac:dyDescent="0.25">
      <c r="A33" s="1"/>
      <c r="B33" s="38" t="s">
        <v>35</v>
      </c>
      <c r="C33" s="34">
        <f>SUM(C32,C30,C28,C24,C22,C20)</f>
        <v>70278738.244999066</v>
      </c>
      <c r="D33" s="35" t="s">
        <v>3</v>
      </c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</sheetData>
  <sheetProtection algorithmName="SHA-512" hashValue="cK8E+9PZojeLLPIk/R458Z8omrr0MNXsjcqK4msWaodfbCJomFcYJXDk9Cojin+kfB+MnTcPLOLYdrBys/ZOlw==" saltValue="Y6jmk2pVHLFJF3K9uqIarw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0.85546875" style="2" customWidth="1"/>
    <col min="3" max="3" width="12.2851562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5" t="s">
        <v>188</v>
      </c>
      <c r="C3" s="75"/>
      <c r="D3" s="75"/>
      <c r="E3" s="1"/>
    </row>
    <row r="4" spans="1:5" ht="15" customHeight="1" x14ac:dyDescent="0.25">
      <c r="A4" s="1"/>
      <c r="B4" s="75"/>
      <c r="C4" s="75"/>
      <c r="D4" s="75"/>
      <c r="E4" s="1"/>
    </row>
    <row r="5" spans="1:5" x14ac:dyDescent="0.25">
      <c r="A5" s="1"/>
      <c r="B5" s="76" t="s">
        <v>23</v>
      </c>
      <c r="C5" s="76"/>
      <c r="D5" s="76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ht="15" customHeight="1" x14ac:dyDescent="0.25">
      <c r="A9" s="1"/>
      <c r="B9" s="33" t="s">
        <v>28</v>
      </c>
      <c r="C9" s="7">
        <f>'Fane 2.1. Økonomisk ramme 2021'!C20</f>
        <v>66460970.284692459</v>
      </c>
      <c r="D9" s="8" t="s">
        <v>3</v>
      </c>
      <c r="E9" s="1"/>
    </row>
    <row r="10" spans="1:5" ht="15" customHeight="1" x14ac:dyDescent="0.25">
      <c r="A10" s="1"/>
      <c r="B10" s="48" t="s">
        <v>32</v>
      </c>
      <c r="C10" s="7">
        <f>-'Fane 13. Bortfald'!C18</f>
        <v>0</v>
      </c>
      <c r="D10" s="8" t="s">
        <v>3</v>
      </c>
      <c r="E10" s="1"/>
    </row>
    <row r="11" spans="1:5" ht="15" customHeight="1" x14ac:dyDescent="0.25">
      <c r="A11" s="1"/>
      <c r="B11" s="48" t="s">
        <v>31</v>
      </c>
      <c r="C11" s="7">
        <f>-'Fane 13. Bortfald'!E18</f>
        <v>0</v>
      </c>
      <c r="D11" s="8" t="s">
        <v>3</v>
      </c>
      <c r="E11" s="1"/>
    </row>
    <row r="12" spans="1:5" ht="15" customHeight="1" x14ac:dyDescent="0.25">
      <c r="A12" s="1"/>
      <c r="B12" s="30" t="s">
        <v>20</v>
      </c>
      <c r="C12" s="9">
        <f>SUM(C9:C11)*'Fane 14. Nøgletal'!C13</f>
        <v>810823.83747324802</v>
      </c>
      <c r="D12" s="8" t="s">
        <v>3</v>
      </c>
      <c r="E12" s="1"/>
    </row>
    <row r="13" spans="1:5" ht="15" customHeight="1" x14ac:dyDescent="0.25">
      <c r="A13" s="1"/>
      <c r="B13" s="30" t="s">
        <v>10</v>
      </c>
      <c r="C13" s="9">
        <f>-SUM(C9:C12)*'Fane 5. Individuelt eff. krav'!G11</f>
        <v>-230911.03491832188</v>
      </c>
      <c r="D13" s="8" t="s">
        <v>3</v>
      </c>
      <c r="E13" s="1"/>
    </row>
    <row r="14" spans="1:5" ht="15" customHeight="1" x14ac:dyDescent="0.25">
      <c r="A14" s="1"/>
      <c r="B14" s="30" t="s">
        <v>29</v>
      </c>
      <c r="C14" s="9">
        <f>-'Fane 4.1. Gen. krav - drift'!G40</f>
        <v>-560665.75492076459</v>
      </c>
      <c r="D14" s="8" t="s">
        <v>3</v>
      </c>
      <c r="E14" s="1"/>
    </row>
    <row r="15" spans="1:5" ht="15" customHeight="1" x14ac:dyDescent="0.25">
      <c r="A15" s="1"/>
      <c r="B15" s="30" t="s">
        <v>30</v>
      </c>
      <c r="C15" s="9">
        <f>-'Fane 4.2. Gen. krav - anlæg'!G37</f>
        <v>-1098154.9476949081</v>
      </c>
      <c r="D15" s="8" t="s">
        <v>3</v>
      </c>
      <c r="E15" s="1"/>
    </row>
    <row r="16" spans="1:5" ht="15" customHeight="1" x14ac:dyDescent="0.25">
      <c r="A16" s="1"/>
      <c r="B16" s="31" t="s">
        <v>22</v>
      </c>
      <c r="C16" s="10">
        <f>SUM(C9:C15)</f>
        <v>65382062.384631716</v>
      </c>
      <c r="D16" s="11" t="s">
        <v>3</v>
      </c>
      <c r="E16" s="1"/>
    </row>
    <row r="17" spans="1:5" x14ac:dyDescent="0.25">
      <c r="A17" s="1"/>
      <c r="B17" s="38" t="s">
        <v>13</v>
      </c>
      <c r="C17" s="32"/>
      <c r="D17" s="20"/>
      <c r="E17" s="1"/>
    </row>
    <row r="18" spans="1:5" ht="15" customHeight="1" x14ac:dyDescent="0.25">
      <c r="A18" s="1"/>
      <c r="B18" s="36" t="s">
        <v>13</v>
      </c>
      <c r="C18" s="10">
        <f>'Fane 6. Ikke-påvirkelige omk.'!C17*(1+'Fane 14. Nøgletal'!C13)+'Fane 6. Ikke-påvirkelige omk.'!C22+'Fane 6. Ikke-påvirkelige omk.'!C30</f>
        <v>4212297.3748223465</v>
      </c>
      <c r="D18" s="11" t="s">
        <v>3</v>
      </c>
      <c r="E18" s="1"/>
    </row>
    <row r="19" spans="1:5" ht="15" customHeight="1" x14ac:dyDescent="0.25">
      <c r="A19" s="1"/>
      <c r="B19" s="38" t="s">
        <v>114</v>
      </c>
      <c r="C19" s="32"/>
      <c r="D19" s="20"/>
      <c r="E19" s="1"/>
    </row>
    <row r="20" spans="1:5" ht="15" customHeight="1" x14ac:dyDescent="0.25">
      <c r="A20" s="1"/>
      <c r="B20" s="49" t="s">
        <v>114</v>
      </c>
      <c r="C20" s="10">
        <f>'Fane 11. Periodevise driftsomk.'!E18</f>
        <v>0</v>
      </c>
      <c r="D20" s="11" t="s">
        <v>3</v>
      </c>
      <c r="E20" s="1"/>
    </row>
    <row r="21" spans="1:5" ht="15" customHeight="1" x14ac:dyDescent="0.25">
      <c r="A21" s="1"/>
      <c r="B21" s="38" t="s">
        <v>113</v>
      </c>
      <c r="C21" s="32"/>
      <c r="D21" s="20"/>
      <c r="E21" s="1"/>
    </row>
    <row r="22" spans="1:5" ht="15" customHeight="1" x14ac:dyDescent="0.25">
      <c r="A22" s="1"/>
      <c r="B22" s="48" t="s">
        <v>109</v>
      </c>
      <c r="C22" s="9">
        <f>'Fane 10.2. Engangstillæg'!C22</f>
        <v>0</v>
      </c>
      <c r="D22" s="8" t="s">
        <v>3</v>
      </c>
      <c r="E22" s="1"/>
    </row>
    <row r="23" spans="1:5" ht="15" customHeight="1" x14ac:dyDescent="0.25">
      <c r="A23" s="1"/>
      <c r="B23" s="48" t="s">
        <v>110</v>
      </c>
      <c r="C23" s="9">
        <f>'Fane 10.2. Engangstillæg'!E22</f>
        <v>0</v>
      </c>
      <c r="D23" s="8" t="s">
        <v>3</v>
      </c>
      <c r="E23" s="1"/>
    </row>
    <row r="24" spans="1:5" ht="15" customHeight="1" x14ac:dyDescent="0.25">
      <c r="A24" s="1"/>
      <c r="B24" s="49" t="s">
        <v>115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38" t="s">
        <v>252</v>
      </c>
      <c r="C25" s="32"/>
      <c r="D25" s="20"/>
      <c r="E25" s="1"/>
    </row>
    <row r="26" spans="1:5" ht="15" customHeight="1" x14ac:dyDescent="0.25">
      <c r="A26" s="1"/>
      <c r="B26" s="36" t="s">
        <v>244</v>
      </c>
      <c r="C26" s="10">
        <f>'Fane 7. Kontrol af ØR2019'!E40</f>
        <v>0</v>
      </c>
      <c r="D26" s="11" t="s">
        <v>3</v>
      </c>
      <c r="E26" s="1"/>
    </row>
    <row r="27" spans="1:5" x14ac:dyDescent="0.25">
      <c r="A27" s="1"/>
      <c r="B27" s="38" t="s">
        <v>36</v>
      </c>
      <c r="C27" s="12">
        <f>SUM(C16,C18,C20,C24,C26)</f>
        <v>69594359.759454057</v>
      </c>
      <c r="D27" s="13" t="s">
        <v>3</v>
      </c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cQipaD8sxtL0dH9E1ixEQq6RxIZA0uuKa9t0UQqRcsnJl5Logy/ZLTt32YKwGoBLrh45+uEFVYeRs+LV67RMZA==" saltValue="LLz+hyZnaWG/Kw6YQ5tMOw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140625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5" t="s">
        <v>189</v>
      </c>
      <c r="C3" s="75"/>
      <c r="D3" s="75"/>
      <c r="E3" s="1"/>
    </row>
    <row r="4" spans="1:5" ht="15" customHeight="1" x14ac:dyDescent="0.25">
      <c r="A4" s="1"/>
      <c r="B4" s="75"/>
      <c r="C4" s="75"/>
      <c r="D4" s="75"/>
      <c r="E4" s="1"/>
    </row>
    <row r="5" spans="1:5" x14ac:dyDescent="0.25">
      <c r="A5" s="1"/>
      <c r="B5" s="76" t="s">
        <v>23</v>
      </c>
      <c r="C5" s="76"/>
      <c r="D5" s="76"/>
      <c r="E5" s="1"/>
    </row>
    <row r="6" spans="1:5" x14ac:dyDescent="0.25">
      <c r="A6" s="1"/>
      <c r="B6" s="47"/>
      <c r="C6" s="47"/>
      <c r="D6" s="47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ht="15" customHeight="1" x14ac:dyDescent="0.25">
      <c r="A9" s="1"/>
      <c r="B9" s="33" t="s">
        <v>190</v>
      </c>
      <c r="C9" s="7">
        <f>'Fane 2.2. Økonomisk ramme 2022'!C16</f>
        <v>65382062.384631716</v>
      </c>
      <c r="D9" s="8" t="s">
        <v>3</v>
      </c>
      <c r="E9" s="1"/>
    </row>
    <row r="10" spans="1:5" ht="15" customHeight="1" x14ac:dyDescent="0.25">
      <c r="A10" s="1"/>
      <c r="B10" s="33" t="s">
        <v>32</v>
      </c>
      <c r="C10" s="7">
        <f>-'Fane 13. Bortfald'!C24</f>
        <v>0</v>
      </c>
      <c r="D10" s="8" t="s">
        <v>3</v>
      </c>
      <c r="E10" s="1"/>
    </row>
    <row r="11" spans="1:5" ht="15" customHeight="1" x14ac:dyDescent="0.25">
      <c r="A11" s="1"/>
      <c r="B11" s="33" t="s">
        <v>31</v>
      </c>
      <c r="C11" s="7">
        <f>-'Fane 13. Bortfald'!E24</f>
        <v>0</v>
      </c>
      <c r="D11" s="8" t="s">
        <v>3</v>
      </c>
      <c r="E11" s="1"/>
    </row>
    <row r="12" spans="1:5" ht="15" customHeight="1" x14ac:dyDescent="0.25">
      <c r="A12" s="1"/>
      <c r="B12" s="30" t="s">
        <v>20</v>
      </c>
      <c r="C12" s="9">
        <f>SUM(C9:C11)*'Fane 14. Nøgletal'!C13</f>
        <v>797661.16109250695</v>
      </c>
      <c r="D12" s="8" t="s">
        <v>3</v>
      </c>
      <c r="E12" s="1"/>
    </row>
    <row r="13" spans="1:5" ht="15" customHeight="1" x14ac:dyDescent="0.25">
      <c r="A13" s="1"/>
      <c r="B13" s="30" t="s">
        <v>10</v>
      </c>
      <c r="C13" s="9">
        <f>-SUM(C9:C12)*'Fane 5. Individuelt eff. krav'!G11</f>
        <v>-227162.49289858609</v>
      </c>
      <c r="D13" s="8" t="s">
        <v>3</v>
      </c>
      <c r="E13" s="1"/>
    </row>
    <row r="14" spans="1:5" ht="15" customHeight="1" x14ac:dyDescent="0.25">
      <c r="A14" s="1"/>
      <c r="B14" s="30" t="s">
        <v>29</v>
      </c>
      <c r="C14" s="9">
        <f>-'Fane 4.1. Gen. krav - drift'!G46</f>
        <v>-556155.75958818186</v>
      </c>
      <c r="D14" s="8" t="s">
        <v>3</v>
      </c>
      <c r="E14" s="1"/>
    </row>
    <row r="15" spans="1:5" ht="15" customHeight="1" x14ac:dyDescent="0.25">
      <c r="A15" s="1"/>
      <c r="B15" s="30" t="s">
        <v>30</v>
      </c>
      <c r="C15" s="9">
        <f>-'Fane 4.2. Gen. krav - anlæg'!G43</f>
        <v>-1080984.7460102243</v>
      </c>
      <c r="D15" s="8" t="s">
        <v>3</v>
      </c>
      <c r="E15" s="1"/>
    </row>
    <row r="16" spans="1:5" x14ac:dyDescent="0.25">
      <c r="A16" s="1"/>
      <c r="B16" s="31" t="s">
        <v>22</v>
      </c>
      <c r="C16" s="10">
        <f>SUM(C9:C15)</f>
        <v>64315420.547227234</v>
      </c>
      <c r="D16" s="11" t="s">
        <v>3</v>
      </c>
      <c r="E16" s="1"/>
    </row>
    <row r="17" spans="1:5" x14ac:dyDescent="0.25">
      <c r="A17" s="1"/>
      <c r="B17" s="38" t="s">
        <v>13</v>
      </c>
      <c r="C17" s="32"/>
      <c r="D17" s="20"/>
      <c r="E17" s="1"/>
    </row>
    <row r="18" spans="1:5" ht="15" customHeight="1" x14ac:dyDescent="0.25">
      <c r="A18" s="1"/>
      <c r="B18" s="36" t="s">
        <v>13</v>
      </c>
      <c r="C18" s="10">
        <f>'Fane 6. Ikke-påvirkelige omk.'!C17*(1+'Fane 14. Nøgletal'!C13)^2+'Fane 6. Ikke-påvirkelige omk.'!C23+'Fane 6. Ikke-påvirkelige omk.'!C31</f>
        <v>3491781.155995179</v>
      </c>
      <c r="D18" s="11" t="s">
        <v>3</v>
      </c>
      <c r="E18" s="1"/>
    </row>
    <row r="19" spans="1:5" ht="15" customHeight="1" x14ac:dyDescent="0.25">
      <c r="A19" s="1"/>
      <c r="B19" s="38" t="s">
        <v>114</v>
      </c>
      <c r="C19" s="32"/>
      <c r="D19" s="20"/>
      <c r="E19" s="1"/>
    </row>
    <row r="20" spans="1:5" ht="15" customHeight="1" x14ac:dyDescent="0.25">
      <c r="A20" s="1"/>
      <c r="B20" s="49" t="s">
        <v>114</v>
      </c>
      <c r="C20" s="10">
        <f>'Fane 11. Periodevise driftsomk.'!E24</f>
        <v>0</v>
      </c>
      <c r="D20" s="11" t="s">
        <v>3</v>
      </c>
      <c r="E20" s="1"/>
    </row>
    <row r="21" spans="1:5" ht="15" customHeight="1" x14ac:dyDescent="0.25">
      <c r="A21" s="1"/>
      <c r="B21" s="38" t="s">
        <v>113</v>
      </c>
      <c r="C21" s="32"/>
      <c r="D21" s="20"/>
      <c r="E21" s="1"/>
    </row>
    <row r="22" spans="1:5" ht="15" customHeight="1" x14ac:dyDescent="0.25">
      <c r="A22" s="1"/>
      <c r="B22" s="48" t="s">
        <v>109</v>
      </c>
      <c r="C22" s="9">
        <f>'Fane 10.2. Engangstillæg'!C30</f>
        <v>0</v>
      </c>
      <c r="D22" s="8" t="s">
        <v>3</v>
      </c>
      <c r="E22" s="1"/>
    </row>
    <row r="23" spans="1:5" ht="15" customHeight="1" x14ac:dyDescent="0.25">
      <c r="A23" s="1"/>
      <c r="B23" s="48" t="s">
        <v>110</v>
      </c>
      <c r="C23" s="9">
        <f>'Fane 10.2. Engangstillæg'!E30</f>
        <v>0</v>
      </c>
      <c r="D23" s="8" t="s">
        <v>3</v>
      </c>
      <c r="E23" s="1"/>
    </row>
    <row r="24" spans="1:5" ht="15" customHeight="1" x14ac:dyDescent="0.25">
      <c r="A24" s="1"/>
      <c r="B24" s="49" t="s">
        <v>115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38" t="s">
        <v>252</v>
      </c>
      <c r="C25" s="32"/>
      <c r="D25" s="20"/>
      <c r="E25" s="1"/>
    </row>
    <row r="26" spans="1:5" x14ac:dyDescent="0.25">
      <c r="A26" s="1"/>
      <c r="B26" s="36" t="s">
        <v>244</v>
      </c>
      <c r="C26" s="10">
        <f>'Fane 7. Kontrol af ØR2019'!E40</f>
        <v>0</v>
      </c>
      <c r="D26" s="11" t="s">
        <v>3</v>
      </c>
      <c r="E26" s="1"/>
    </row>
    <row r="27" spans="1:5" x14ac:dyDescent="0.25">
      <c r="A27" s="1"/>
      <c r="B27" s="38" t="s">
        <v>124</v>
      </c>
      <c r="C27" s="12">
        <f>SUM(C16,C18,C20,C24,C26)</f>
        <v>67807201.703222409</v>
      </c>
      <c r="D27" s="13" t="s">
        <v>3</v>
      </c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OVjs2eFrEoaaTW/NNRbL3njhZcoQyUCQf5xrPT+UAg3+tR3IPvsyvuhtw793TuDHsCT7UoJ7nAykYVh8j10xzQ==" saltValue="V/JRgf/44Fr+3qFsWgaemw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5703125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5" t="s">
        <v>191</v>
      </c>
      <c r="C3" s="75"/>
      <c r="D3" s="75"/>
      <c r="E3" s="1"/>
    </row>
    <row r="4" spans="1:5" ht="15" customHeight="1" x14ac:dyDescent="0.25">
      <c r="A4" s="1"/>
      <c r="B4" s="75"/>
      <c r="C4" s="75"/>
      <c r="D4" s="75"/>
      <c r="E4" s="1"/>
    </row>
    <row r="5" spans="1:5" x14ac:dyDescent="0.25">
      <c r="A5" s="1"/>
      <c r="B5" s="76" t="s">
        <v>23</v>
      </c>
      <c r="C5" s="76"/>
      <c r="D5" s="76"/>
      <c r="E5" s="1"/>
    </row>
    <row r="6" spans="1:5" x14ac:dyDescent="0.25">
      <c r="A6" s="1"/>
      <c r="B6" s="47"/>
      <c r="C6" s="47"/>
      <c r="D6" s="47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ht="15" customHeight="1" x14ac:dyDescent="0.25">
      <c r="A9" s="1"/>
      <c r="B9" s="33" t="s">
        <v>192</v>
      </c>
      <c r="C9" s="7">
        <f>'Fane 2.3. Økonomisk ramme 2023'!C16</f>
        <v>64315420.547227234</v>
      </c>
      <c r="D9" s="8" t="s">
        <v>3</v>
      </c>
      <c r="E9" s="1"/>
    </row>
    <row r="10" spans="1:5" ht="15" customHeight="1" x14ac:dyDescent="0.25">
      <c r="A10" s="1"/>
      <c r="B10" s="33" t="s">
        <v>32</v>
      </c>
      <c r="C10" s="7">
        <f>-'Fane 13. Bortfald'!C30</f>
        <v>0</v>
      </c>
      <c r="D10" s="8" t="s">
        <v>3</v>
      </c>
      <c r="E10" s="1"/>
    </row>
    <row r="11" spans="1:5" ht="15" customHeight="1" x14ac:dyDescent="0.25">
      <c r="A11" s="1"/>
      <c r="B11" s="33" t="s">
        <v>31</v>
      </c>
      <c r="C11" s="7">
        <f>-'Fane 13. Bortfald'!E30</f>
        <v>0</v>
      </c>
      <c r="D11" s="8" t="s">
        <v>3</v>
      </c>
      <c r="E11" s="1"/>
    </row>
    <row r="12" spans="1:5" ht="15" customHeight="1" x14ac:dyDescent="0.25">
      <c r="A12" s="1"/>
      <c r="B12" s="30" t="s">
        <v>20</v>
      </c>
      <c r="C12" s="9">
        <f>SUM(C9:C11)*'Fane 14. Nøgletal'!C13</f>
        <v>784648.13067617232</v>
      </c>
      <c r="D12" s="8" t="s">
        <v>3</v>
      </c>
      <c r="E12" s="1"/>
    </row>
    <row r="13" spans="1:5" ht="15" customHeight="1" x14ac:dyDescent="0.25">
      <c r="A13" s="1"/>
      <c r="B13" s="30" t="s">
        <v>10</v>
      </c>
      <c r="C13" s="9">
        <f>-SUM(C9:C12)*'Fane 5. Individuelt eff. krav'!G11</f>
        <v>-223456.5679097212</v>
      </c>
      <c r="D13" s="8" t="s">
        <v>3</v>
      </c>
      <c r="E13" s="1"/>
    </row>
    <row r="14" spans="1:5" ht="15" customHeight="1" x14ac:dyDescent="0.25">
      <c r="A14" s="1"/>
      <c r="B14" s="30" t="s">
        <v>29</v>
      </c>
      <c r="C14" s="9">
        <f>-'Fane 4.1. Gen. krav - drift'!G54</f>
        <v>-551682.0426580545</v>
      </c>
      <c r="D14" s="8" t="s">
        <v>3</v>
      </c>
      <c r="E14" s="1"/>
    </row>
    <row r="15" spans="1:5" ht="15" customHeight="1" x14ac:dyDescent="0.25">
      <c r="A15" s="1"/>
      <c r="B15" s="30" t="s">
        <v>30</v>
      </c>
      <c r="C15" s="9">
        <f>-'Fane 4.2. Gen. krav - anlæg'!G49</f>
        <v>-1064083.0090139813</v>
      </c>
      <c r="D15" s="8" t="s">
        <v>3</v>
      </c>
      <c r="E15" s="1"/>
    </row>
    <row r="16" spans="1:5" x14ac:dyDescent="0.25">
      <c r="A16" s="1"/>
      <c r="B16" s="31" t="s">
        <v>22</v>
      </c>
      <c r="C16" s="10">
        <f>SUM(C9:C15)</f>
        <v>63260847.058321655</v>
      </c>
      <c r="D16" s="11" t="s">
        <v>3</v>
      </c>
      <c r="E16" s="1"/>
    </row>
    <row r="17" spans="1:5" x14ac:dyDescent="0.25">
      <c r="A17" s="1"/>
      <c r="B17" s="38" t="s">
        <v>13</v>
      </c>
      <c r="C17" s="32"/>
      <c r="D17" s="20"/>
      <c r="E17" s="1"/>
    </row>
    <row r="18" spans="1:5" ht="15" customHeight="1" x14ac:dyDescent="0.25">
      <c r="A18" s="1"/>
      <c r="B18" s="36" t="s">
        <v>13</v>
      </c>
      <c r="C18" s="10">
        <f>'Fane 6. Ikke-påvirkelige omk.'!C17*(1+'Fane 14. Nøgletal'!C13)^3+'Fane 6. Ikke-påvirkelige omk.'!C24+'Fane 6. Ikke-påvirkelige omk.'!C32</f>
        <v>3521624.6392983203</v>
      </c>
      <c r="D18" s="11" t="s">
        <v>3</v>
      </c>
      <c r="E18" s="1"/>
    </row>
    <row r="19" spans="1:5" ht="15" customHeight="1" x14ac:dyDescent="0.25">
      <c r="A19" s="1"/>
      <c r="B19" s="38" t="s">
        <v>114</v>
      </c>
      <c r="C19" s="32"/>
      <c r="D19" s="20"/>
      <c r="E19" s="1"/>
    </row>
    <row r="20" spans="1:5" ht="15" customHeight="1" x14ac:dyDescent="0.25">
      <c r="A20" s="1"/>
      <c r="B20" s="49" t="s">
        <v>114</v>
      </c>
      <c r="C20" s="10">
        <f>'Fane 11. Periodevise driftsomk.'!E30</f>
        <v>0</v>
      </c>
      <c r="D20" s="11" t="s">
        <v>3</v>
      </c>
      <c r="E20" s="1"/>
    </row>
    <row r="21" spans="1:5" ht="15" customHeight="1" x14ac:dyDescent="0.25">
      <c r="A21" s="1"/>
      <c r="B21" s="38" t="s">
        <v>113</v>
      </c>
      <c r="C21" s="32"/>
      <c r="D21" s="20"/>
      <c r="E21" s="1"/>
    </row>
    <row r="22" spans="1:5" ht="15" customHeight="1" x14ac:dyDescent="0.25">
      <c r="A22" s="1"/>
      <c r="B22" s="48" t="s">
        <v>109</v>
      </c>
      <c r="C22" s="9">
        <f>'Fane 10.2. Engangstillæg'!C38</f>
        <v>0</v>
      </c>
      <c r="D22" s="8" t="s">
        <v>3</v>
      </c>
      <c r="E22" s="1"/>
    </row>
    <row r="23" spans="1:5" ht="15" customHeight="1" x14ac:dyDescent="0.25">
      <c r="A23" s="1"/>
      <c r="B23" s="48" t="s">
        <v>110</v>
      </c>
      <c r="C23" s="9">
        <f>'Fane 10.2. Engangstillæg'!E38</f>
        <v>0</v>
      </c>
      <c r="D23" s="8" t="s">
        <v>3</v>
      </c>
      <c r="E23" s="1"/>
    </row>
    <row r="24" spans="1:5" ht="15" customHeight="1" x14ac:dyDescent="0.25">
      <c r="A24" s="1"/>
      <c r="B24" s="49" t="s">
        <v>115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38" t="s">
        <v>193</v>
      </c>
      <c r="C25" s="12">
        <f>SUM(C16,C18,C20,C24)</f>
        <v>66782471.697619975</v>
      </c>
      <c r="D25" s="13" t="s">
        <v>3</v>
      </c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J2Ox3yBpBrlS3xrLUQ4gKUkT9r6N3rJxR5hHztixBFvG0t7CY28xvcb0EpyauhJSWamqtohyMX7j1RP96RMgqg==" saltValue="adQyLbZrulcAVscKpPqjeg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2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12.28515625" style="2" customWidth="1"/>
    <col min="3" max="3" width="12" style="2" customWidth="1"/>
    <col min="4" max="4" width="31.7109375" style="2" customWidth="1"/>
    <col min="5" max="5" width="10.85546875" style="2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9" t="s">
        <v>194</v>
      </c>
      <c r="C3" s="89"/>
      <c r="D3" s="89"/>
      <c r="E3" s="89"/>
      <c r="F3" s="89"/>
      <c r="G3" s="1"/>
    </row>
    <row r="4" spans="1:7" ht="29.25" customHeight="1" x14ac:dyDescent="0.25">
      <c r="A4" s="1"/>
      <c r="B4" s="89"/>
      <c r="C4" s="89"/>
      <c r="D4" s="89"/>
      <c r="E4" s="89"/>
      <c r="F4" s="8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195</v>
      </c>
      <c r="C8" s="32"/>
      <c r="D8" s="32"/>
      <c r="E8" s="32"/>
      <c r="F8" s="20"/>
      <c r="G8" s="1"/>
    </row>
    <row r="9" spans="1:7" ht="15" customHeight="1" x14ac:dyDescent="0.25">
      <c r="A9" s="1"/>
      <c r="B9" s="77" t="s">
        <v>25</v>
      </c>
      <c r="C9" s="78"/>
      <c r="D9" s="79"/>
      <c r="E9" s="7">
        <v>67654063.476079836</v>
      </c>
      <c r="F9" s="8" t="s">
        <v>3</v>
      </c>
      <c r="G9" s="1"/>
    </row>
    <row r="10" spans="1:7" ht="15" customHeight="1" x14ac:dyDescent="0.25">
      <c r="A10" s="1"/>
      <c r="B10" s="80" t="s">
        <v>48</v>
      </c>
      <c r="C10" s="81"/>
      <c r="D10" s="82"/>
      <c r="E10" s="8">
        <v>0</v>
      </c>
      <c r="F10" s="8" t="s">
        <v>3</v>
      </c>
      <c r="G10" s="1"/>
    </row>
    <row r="11" spans="1:7" ht="15" customHeight="1" x14ac:dyDescent="0.25">
      <c r="A11" s="1"/>
      <c r="B11" s="80" t="s">
        <v>49</v>
      </c>
      <c r="C11" s="81"/>
      <c r="D11" s="82"/>
      <c r="E11" s="9">
        <v>60142.9257</v>
      </c>
      <c r="F11" s="8" t="s">
        <v>3</v>
      </c>
      <c r="G11" s="1"/>
    </row>
    <row r="12" spans="1:7" ht="15" customHeight="1" x14ac:dyDescent="0.25">
      <c r="A12" s="1"/>
      <c r="B12" s="80" t="s">
        <v>32</v>
      </c>
      <c r="C12" s="81"/>
      <c r="D12" s="82"/>
      <c r="E12" s="9">
        <v>0</v>
      </c>
      <c r="F12" s="8" t="s">
        <v>3</v>
      </c>
      <c r="G12" s="1"/>
    </row>
    <row r="13" spans="1:7" ht="15" customHeight="1" x14ac:dyDescent="0.25">
      <c r="A13" s="1"/>
      <c r="B13" s="77" t="s">
        <v>31</v>
      </c>
      <c r="C13" s="78"/>
      <c r="D13" s="79"/>
      <c r="E13" s="9">
        <v>0</v>
      </c>
      <c r="F13" s="8" t="s">
        <v>3</v>
      </c>
      <c r="G13" s="1"/>
    </row>
    <row r="14" spans="1:7" ht="15" customHeight="1" x14ac:dyDescent="0.25">
      <c r="A14" s="1"/>
      <c r="B14" s="77" t="s">
        <v>34</v>
      </c>
      <c r="C14" s="78"/>
      <c r="D14" s="79"/>
      <c r="E14" s="9">
        <v>0</v>
      </c>
      <c r="F14" s="8" t="s">
        <v>3</v>
      </c>
      <c r="G14" s="1"/>
    </row>
    <row r="15" spans="1:7" ht="15" customHeight="1" x14ac:dyDescent="0.25">
      <c r="A15" s="1"/>
      <c r="B15" s="77" t="s">
        <v>33</v>
      </c>
      <c r="C15" s="78"/>
      <c r="D15" s="79"/>
      <c r="E15" s="9">
        <v>0</v>
      </c>
      <c r="F15" s="8" t="s">
        <v>3</v>
      </c>
      <c r="G15" s="1"/>
    </row>
    <row r="16" spans="1:7" ht="15" customHeight="1" x14ac:dyDescent="0.25">
      <c r="A16" s="1"/>
      <c r="B16" s="77" t="s">
        <v>20</v>
      </c>
      <c r="C16" s="78"/>
      <c r="D16" s="79"/>
      <c r="E16" s="9">
        <f>SUM(E9:E15)*'Fane 14. Nøgletal'!C12</f>
        <v>1333969.8661150625</v>
      </c>
      <c r="F16" s="8" t="s">
        <v>3</v>
      </c>
      <c r="G16" s="1"/>
    </row>
    <row r="17" spans="1:7" ht="15" customHeight="1" x14ac:dyDescent="0.25">
      <c r="A17" s="1"/>
      <c r="B17" s="77" t="s">
        <v>10</v>
      </c>
      <c r="C17" s="78"/>
      <c r="D17" s="79"/>
      <c r="E17" s="9">
        <f>-SUM(E9:E16)*'Fane 5. Individuelt eff. krav'!G11</f>
        <v>-237008.48251925633</v>
      </c>
      <c r="F17" s="8" t="s">
        <v>3</v>
      </c>
      <c r="G17" s="1"/>
    </row>
    <row r="18" spans="1:7" ht="15" customHeight="1" x14ac:dyDescent="0.25">
      <c r="A18" s="1"/>
      <c r="B18" s="77" t="s">
        <v>29</v>
      </c>
      <c r="C18" s="78"/>
      <c r="D18" s="79"/>
      <c r="E18" s="9">
        <f>-'Fane 4.1. Gen. krav - drift'!G28</f>
        <v>-565604.85261344933</v>
      </c>
      <c r="F18" s="8" t="s">
        <v>3</v>
      </c>
      <c r="G18" s="1"/>
    </row>
    <row r="19" spans="1:7" ht="15" customHeight="1" x14ac:dyDescent="0.25">
      <c r="A19" s="1"/>
      <c r="B19" s="77" t="s">
        <v>30</v>
      </c>
      <c r="C19" s="78"/>
      <c r="D19" s="79"/>
      <c r="E19" s="9">
        <f>-'Fane 4.2. Gen. krav - anlæg'!G25</f>
        <v>-1163644.7645856231</v>
      </c>
      <c r="F19" s="8" t="s">
        <v>3</v>
      </c>
      <c r="G19" s="1"/>
    </row>
    <row r="20" spans="1:7" ht="15" customHeight="1" x14ac:dyDescent="0.25">
      <c r="A20" s="1"/>
      <c r="B20" s="49" t="s">
        <v>22</v>
      </c>
      <c r="C20" s="50"/>
      <c r="D20" s="55"/>
      <c r="E20" s="10">
        <f>SUM(E9:E19)</f>
        <v>67081918.168176569</v>
      </c>
      <c r="F20" s="11" t="s">
        <v>3</v>
      </c>
      <c r="G20" s="1"/>
    </row>
    <row r="21" spans="1:7" ht="15" customHeight="1" x14ac:dyDescent="0.25">
      <c r="A21" s="1"/>
      <c r="B21" s="38" t="s">
        <v>13</v>
      </c>
      <c r="C21" s="32"/>
      <c r="D21" s="32"/>
      <c r="E21" s="32"/>
      <c r="F21" s="20"/>
      <c r="G21" s="1"/>
    </row>
    <row r="22" spans="1:7" ht="15" customHeight="1" x14ac:dyDescent="0.25">
      <c r="A22" s="1"/>
      <c r="B22" s="83" t="s">
        <v>13</v>
      </c>
      <c r="C22" s="84"/>
      <c r="D22" s="85"/>
      <c r="E22" s="10">
        <v>7193189.0839587701</v>
      </c>
      <c r="F22" s="11" t="s">
        <v>3</v>
      </c>
      <c r="G22" s="1"/>
    </row>
    <row r="23" spans="1:7" ht="15" customHeight="1" x14ac:dyDescent="0.25">
      <c r="A23" s="1"/>
      <c r="B23" s="86" t="s">
        <v>114</v>
      </c>
      <c r="C23" s="87"/>
      <c r="D23" s="88"/>
      <c r="E23" s="32"/>
      <c r="F23" s="32"/>
      <c r="G23" s="1"/>
    </row>
    <row r="24" spans="1:7" ht="15" customHeight="1" x14ac:dyDescent="0.25">
      <c r="A24" s="1"/>
      <c r="B24" s="49" t="s">
        <v>114</v>
      </c>
      <c r="C24" s="44"/>
      <c r="D24" s="45"/>
      <c r="E24" s="10">
        <v>0</v>
      </c>
      <c r="F24" s="11" t="s">
        <v>3</v>
      </c>
      <c r="G24" s="1"/>
    </row>
    <row r="25" spans="1:7" x14ac:dyDescent="0.25">
      <c r="A25" s="1"/>
      <c r="B25" s="38" t="s">
        <v>113</v>
      </c>
      <c r="C25" s="32"/>
      <c r="D25" s="32"/>
      <c r="E25" s="32"/>
      <c r="F25" s="20"/>
      <c r="G25" s="1"/>
    </row>
    <row r="26" spans="1:7" ht="15" customHeight="1" x14ac:dyDescent="0.25">
      <c r="A26" s="1"/>
      <c r="B26" s="80" t="s">
        <v>109</v>
      </c>
      <c r="C26" s="81"/>
      <c r="D26" s="82"/>
      <c r="E26" s="9">
        <v>0</v>
      </c>
      <c r="F26" s="8" t="s">
        <v>3</v>
      </c>
      <c r="G26" s="1"/>
    </row>
    <row r="27" spans="1:7" ht="15" customHeight="1" x14ac:dyDescent="0.25">
      <c r="A27" s="1"/>
      <c r="B27" s="80" t="s">
        <v>110</v>
      </c>
      <c r="C27" s="81"/>
      <c r="D27" s="81"/>
      <c r="E27" s="9">
        <v>0</v>
      </c>
      <c r="F27" s="8" t="s">
        <v>3</v>
      </c>
      <c r="G27" s="1"/>
    </row>
    <row r="28" spans="1:7" ht="15" customHeight="1" x14ac:dyDescent="0.25">
      <c r="A28" s="1"/>
      <c r="B28" s="90" t="s">
        <v>115</v>
      </c>
      <c r="C28" s="91"/>
      <c r="D28" s="91"/>
      <c r="E28" s="46">
        <v>0</v>
      </c>
      <c r="F28" s="11" t="s">
        <v>3</v>
      </c>
      <c r="G28" s="1"/>
    </row>
    <row r="29" spans="1:7" ht="15" customHeight="1" x14ac:dyDescent="0.25">
      <c r="A29" s="1"/>
      <c r="B29" s="38" t="s">
        <v>259</v>
      </c>
      <c r="C29" s="38"/>
      <c r="D29" s="38"/>
      <c r="E29" s="32"/>
      <c r="F29" s="32"/>
      <c r="G29" s="1"/>
    </row>
    <row r="30" spans="1:7" ht="15" customHeight="1" x14ac:dyDescent="0.25">
      <c r="A30" s="1"/>
      <c r="B30" s="83" t="s">
        <v>260</v>
      </c>
      <c r="C30" s="84"/>
      <c r="D30" s="84"/>
      <c r="E30" s="46">
        <v>0</v>
      </c>
      <c r="F30" s="11" t="s">
        <v>3</v>
      </c>
      <c r="G30" s="1"/>
    </row>
    <row r="31" spans="1:7" ht="15" customHeight="1" x14ac:dyDescent="0.25">
      <c r="A31" s="1"/>
      <c r="B31" s="38" t="s">
        <v>261</v>
      </c>
      <c r="C31" s="38"/>
      <c r="D31" s="38"/>
      <c r="E31" s="32"/>
      <c r="F31" s="32"/>
      <c r="G31" s="1"/>
    </row>
    <row r="32" spans="1:7" ht="15" customHeight="1" x14ac:dyDescent="0.25">
      <c r="A32" s="1"/>
      <c r="B32" s="83" t="s">
        <v>262</v>
      </c>
      <c r="C32" s="84"/>
      <c r="D32" s="84"/>
      <c r="E32" s="46">
        <v>0</v>
      </c>
      <c r="F32" s="11" t="s">
        <v>3</v>
      </c>
      <c r="G32" s="1"/>
    </row>
    <row r="33" spans="1:7" x14ac:dyDescent="0.25">
      <c r="A33" s="1"/>
      <c r="B33" s="38" t="s">
        <v>263</v>
      </c>
      <c r="C33" s="32"/>
      <c r="D33" s="32"/>
      <c r="E33" s="32"/>
      <c r="F33" s="32"/>
      <c r="G33" s="1"/>
    </row>
    <row r="34" spans="1:7" ht="15.4" customHeight="1" x14ac:dyDescent="0.25">
      <c r="A34" s="1"/>
      <c r="B34" s="83" t="s">
        <v>264</v>
      </c>
      <c r="C34" s="84"/>
      <c r="D34" s="85"/>
      <c r="E34" s="10">
        <v>-331950.53324456519</v>
      </c>
      <c r="F34" s="11" t="s">
        <v>3</v>
      </c>
      <c r="G34" s="1"/>
    </row>
    <row r="35" spans="1:7" x14ac:dyDescent="0.25">
      <c r="A35" s="1"/>
      <c r="B35" s="38" t="s">
        <v>26</v>
      </c>
      <c r="C35" s="32"/>
      <c r="D35" s="20"/>
      <c r="E35" s="12">
        <f>E20+E22+E24+E28+E30+E32+E34</f>
        <v>73943156.718890771</v>
      </c>
      <c r="F35" s="13" t="s">
        <v>3</v>
      </c>
      <c r="G35" s="1"/>
    </row>
    <row r="36" spans="1:7" ht="27" customHeight="1" x14ac:dyDescent="0.25">
      <c r="A36" s="1"/>
      <c r="B36" s="77" t="s">
        <v>218</v>
      </c>
      <c r="C36" s="78"/>
      <c r="D36" s="78"/>
      <c r="E36" s="78"/>
      <c r="F36" s="79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  <row r="51" spans="1:7" x14ac:dyDescent="0.25">
      <c r="A51" s="1"/>
      <c r="B51" s="1"/>
      <c r="C51" s="1"/>
      <c r="D51" s="1"/>
      <c r="E51" s="1"/>
      <c r="F51" s="1"/>
      <c r="G51" s="1"/>
    </row>
    <row r="52" spans="1:7" x14ac:dyDescent="0.25">
      <c r="A52" s="1"/>
      <c r="B52" s="1"/>
      <c r="C52" s="1"/>
      <c r="D52" s="1"/>
      <c r="E52" s="1"/>
      <c r="F52" s="1"/>
      <c r="G52" s="1"/>
    </row>
  </sheetData>
  <sheetProtection algorithmName="SHA-512" hashValue="+Q+vvxRiWP5CVv5QT6wtKGtm13QX/AgKmKEPm7FglRZYvDUA8XAEzmiE9X6y6U8Do8/DVJ4xqChXlEw2Ej9PhA==" saltValue="M5BfvFWw4h1+0zgverBZgQ==" spinCount="100000" sheet="1" objects="1" scenarios="1"/>
  <mergeCells count="21">
    <mergeCell ref="B36:F36"/>
    <mergeCell ref="B27:D27"/>
    <mergeCell ref="B28:D28"/>
    <mergeCell ref="B32:D32"/>
    <mergeCell ref="B30:D30"/>
    <mergeCell ref="B3:F4"/>
    <mergeCell ref="B9:D9"/>
    <mergeCell ref="B10:D10"/>
    <mergeCell ref="B11:D11"/>
    <mergeCell ref="B12:D12"/>
    <mergeCell ref="B13:D13"/>
    <mergeCell ref="B14:D14"/>
    <mergeCell ref="B15:D15"/>
    <mergeCell ref="B16:D16"/>
    <mergeCell ref="B17:D17"/>
    <mergeCell ref="B18:D18"/>
    <mergeCell ref="B19:D19"/>
    <mergeCell ref="B26:D26"/>
    <mergeCell ref="B34:D34"/>
    <mergeCell ref="B22:D22"/>
    <mergeCell ref="B23:D23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6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ht="15" customHeight="1" x14ac:dyDescent="0.25">
      <c r="A1" s="1"/>
      <c r="B1" s="43"/>
      <c r="C1" s="43"/>
      <c r="D1" s="43"/>
      <c r="E1" s="43"/>
      <c r="F1" s="43"/>
      <c r="G1" s="43"/>
      <c r="H1" s="43"/>
      <c r="I1" s="1"/>
    </row>
    <row r="2" spans="1:9" ht="15" customHeight="1" x14ac:dyDescent="0.25">
      <c r="A2" s="1"/>
      <c r="B2" s="89" t="s">
        <v>163</v>
      </c>
      <c r="C2" s="89"/>
      <c r="D2" s="89"/>
      <c r="E2" s="89"/>
      <c r="F2" s="89"/>
      <c r="G2" s="89"/>
      <c r="H2" s="89"/>
      <c r="I2" s="1"/>
    </row>
    <row r="3" spans="1:9" ht="28.5" customHeight="1" x14ac:dyDescent="0.25">
      <c r="A3" s="1"/>
      <c r="B3" s="89"/>
      <c r="C3" s="89"/>
      <c r="D3" s="89"/>
      <c r="E3" s="89"/>
      <c r="F3" s="89"/>
      <c r="G3" s="89"/>
      <c r="H3" s="89"/>
      <c r="I3" s="1"/>
    </row>
    <row r="4" spans="1:9" ht="14.25" customHeight="1" x14ac:dyDescent="0.25">
      <c r="A4" s="1"/>
      <c r="B4" s="43"/>
      <c r="C4" s="43"/>
      <c r="D4" s="43"/>
      <c r="E4" s="43"/>
      <c r="F4" s="43"/>
      <c r="G4" s="43"/>
      <c r="H4" s="43"/>
      <c r="I4" s="1"/>
    </row>
    <row r="5" spans="1:9" x14ac:dyDescent="0.25">
      <c r="A5" s="1"/>
      <c r="B5" s="86" t="s">
        <v>67</v>
      </c>
      <c r="C5" s="87"/>
      <c r="D5" s="87"/>
      <c r="E5" s="87"/>
      <c r="F5" s="87"/>
      <c r="G5" s="87"/>
      <c r="H5" s="88"/>
      <c r="I5" s="1"/>
    </row>
    <row r="6" spans="1:9" x14ac:dyDescent="0.25">
      <c r="A6" s="1"/>
      <c r="B6" s="92" t="s">
        <v>56</v>
      </c>
      <c r="C6" s="93"/>
      <c r="D6" s="93"/>
      <c r="E6" s="93"/>
      <c r="F6" s="94"/>
      <c r="G6" s="24">
        <v>28461884</v>
      </c>
      <c r="H6" s="14" t="s">
        <v>3</v>
      </c>
      <c r="I6" s="1"/>
    </row>
    <row r="7" spans="1:9" x14ac:dyDescent="0.25">
      <c r="A7" s="1"/>
      <c r="B7" s="77" t="s">
        <v>181</v>
      </c>
      <c r="C7" s="78"/>
      <c r="D7" s="78"/>
      <c r="E7" s="78"/>
      <c r="F7" s="79"/>
      <c r="G7" s="112">
        <v>0</v>
      </c>
      <c r="H7" s="14" t="s">
        <v>3</v>
      </c>
      <c r="I7" s="1"/>
    </row>
    <row r="8" spans="1:9" x14ac:dyDescent="0.25">
      <c r="A8" s="1"/>
      <c r="B8" s="92" t="s">
        <v>57</v>
      </c>
      <c r="C8" s="93"/>
      <c r="D8" s="93"/>
      <c r="E8" s="93"/>
      <c r="F8" s="94"/>
      <c r="G8" s="24">
        <f>SUM(G6:G7)*'Fane 14. Nøgletal'!C27</f>
        <v>569237.68000000005</v>
      </c>
      <c r="H8" s="14" t="s">
        <v>3</v>
      </c>
      <c r="I8" s="1"/>
    </row>
    <row r="9" spans="1:9" x14ac:dyDescent="0.25">
      <c r="A9" s="1"/>
      <c r="B9" s="38"/>
      <c r="C9" s="32"/>
      <c r="D9" s="32"/>
      <c r="E9" s="32"/>
      <c r="F9" s="32"/>
      <c r="G9" s="32"/>
      <c r="H9" s="20"/>
      <c r="I9" s="1"/>
    </row>
    <row r="10" spans="1:9" x14ac:dyDescent="0.25">
      <c r="A10" s="1"/>
      <c r="B10" s="1"/>
      <c r="C10" s="1"/>
      <c r="D10" s="1"/>
      <c r="E10" s="1"/>
      <c r="F10" s="1"/>
      <c r="G10" s="1"/>
      <c r="H10" s="1"/>
      <c r="I10" s="1"/>
    </row>
    <row r="11" spans="1:9" x14ac:dyDescent="0.25">
      <c r="A11" s="1"/>
      <c r="B11" s="86" t="s">
        <v>68</v>
      </c>
      <c r="C11" s="87"/>
      <c r="D11" s="87"/>
      <c r="E11" s="87"/>
      <c r="F11" s="87"/>
      <c r="G11" s="87"/>
      <c r="H11" s="88"/>
      <c r="I11" s="1"/>
    </row>
    <row r="12" spans="1:9" x14ac:dyDescent="0.25">
      <c r="A12" s="1"/>
      <c r="B12" s="92" t="s">
        <v>58</v>
      </c>
      <c r="C12" s="93"/>
      <c r="D12" s="93"/>
      <c r="E12" s="93"/>
      <c r="F12" s="94"/>
      <c r="G12" s="24">
        <f>(G6-G8)*(1+'Fane 14. Nøgletal'!C10)</f>
        <v>28380767.630600002</v>
      </c>
      <c r="H12" s="14" t="s">
        <v>3</v>
      </c>
      <c r="I12" s="1"/>
    </row>
    <row r="13" spans="1:9" ht="15" customHeight="1" x14ac:dyDescent="0.25">
      <c r="A13" s="1"/>
      <c r="B13" s="92" t="s">
        <v>182</v>
      </c>
      <c r="C13" s="93"/>
      <c r="D13" s="93"/>
      <c r="E13" s="93"/>
      <c r="F13" s="94"/>
      <c r="G13" s="24">
        <f>(28461884.3020379-G6)*1.0175</f>
        <v>0.30732356167398395</v>
      </c>
      <c r="H13" s="14" t="s">
        <v>3</v>
      </c>
      <c r="I13" s="1"/>
    </row>
    <row r="14" spans="1:9" x14ac:dyDescent="0.25">
      <c r="A14" s="1"/>
      <c r="B14" s="77" t="s">
        <v>179</v>
      </c>
      <c r="C14" s="78"/>
      <c r="D14" s="78"/>
      <c r="E14" s="78"/>
      <c r="F14" s="79"/>
      <c r="G14" s="112">
        <v>0</v>
      </c>
      <c r="H14" s="14" t="s">
        <v>3</v>
      </c>
      <c r="I14" s="1"/>
    </row>
    <row r="15" spans="1:9" x14ac:dyDescent="0.25">
      <c r="A15" s="1"/>
      <c r="B15" s="95" t="s">
        <v>59</v>
      </c>
      <c r="C15" s="96"/>
      <c r="D15" s="96"/>
      <c r="E15" s="96"/>
      <c r="F15" s="97"/>
      <c r="G15" s="112">
        <v>0</v>
      </c>
      <c r="H15" s="14" t="s">
        <v>3</v>
      </c>
      <c r="I15" s="1"/>
    </row>
    <row r="16" spans="1:9" x14ac:dyDescent="0.25">
      <c r="A16" s="1"/>
      <c r="B16" s="92" t="s">
        <v>60</v>
      </c>
      <c r="C16" s="93"/>
      <c r="D16" s="93"/>
      <c r="E16" s="93"/>
      <c r="F16" s="94"/>
      <c r="G16" s="24">
        <f>SUM(G12:G15)*'Fane 14. Nøgletal'!C27</f>
        <v>567615.35875847121</v>
      </c>
      <c r="H16" s="14" t="s">
        <v>3</v>
      </c>
      <c r="I16" s="1"/>
    </row>
    <row r="17" spans="1:9" x14ac:dyDescent="0.25">
      <c r="A17" s="1"/>
      <c r="B17" s="38"/>
      <c r="C17" s="32"/>
      <c r="D17" s="32"/>
      <c r="E17" s="32"/>
      <c r="F17" s="32"/>
      <c r="G17" s="32"/>
      <c r="H17" s="20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86" t="s">
        <v>69</v>
      </c>
      <c r="C19" s="87"/>
      <c r="D19" s="87"/>
      <c r="E19" s="87"/>
      <c r="F19" s="87"/>
      <c r="G19" s="87"/>
      <c r="H19" s="88"/>
      <c r="I19" s="1"/>
    </row>
    <row r="20" spans="1:9" x14ac:dyDescent="0.25">
      <c r="A20" s="1"/>
      <c r="B20" s="92" t="s">
        <v>61</v>
      </c>
      <c r="C20" s="93"/>
      <c r="D20" s="93"/>
      <c r="E20" s="93"/>
      <c r="F20" s="94"/>
      <c r="G20" s="24">
        <f>(SUM(G12:G13,G15)-(G16))*(1+'Fane 14. Nøgletal'!C10)</f>
        <v>28299882.74930048</v>
      </c>
      <c r="H20" s="14" t="s">
        <v>3</v>
      </c>
      <c r="I20" s="1"/>
    </row>
    <row r="21" spans="1:9" x14ac:dyDescent="0.25">
      <c r="A21" s="1"/>
      <c r="B21" s="95" t="s">
        <v>62</v>
      </c>
      <c r="C21" s="96"/>
      <c r="D21" s="96"/>
      <c r="E21" s="96"/>
      <c r="F21" s="97"/>
      <c r="G21" s="24"/>
      <c r="H21" s="14" t="s">
        <v>3</v>
      </c>
      <c r="I21" s="1"/>
    </row>
    <row r="22" spans="1:9" x14ac:dyDescent="0.25">
      <c r="A22" s="1"/>
      <c r="B22" s="92" t="s">
        <v>63</v>
      </c>
      <c r="C22" s="93"/>
      <c r="D22" s="93"/>
      <c r="E22" s="93"/>
      <c r="F22" s="94"/>
      <c r="G22" s="24">
        <f>SUM(G20:G21)*'Fane 14. Nøgletal'!C27</f>
        <v>565997.65498600958</v>
      </c>
      <c r="H22" s="14" t="s">
        <v>3</v>
      </c>
      <c r="I22" s="1"/>
    </row>
    <row r="23" spans="1:9" x14ac:dyDescent="0.25">
      <c r="A23" s="1"/>
      <c r="B23" s="38"/>
      <c r="C23" s="32"/>
      <c r="D23" s="32"/>
      <c r="E23" s="32"/>
      <c r="F23" s="32"/>
      <c r="G23" s="32"/>
      <c r="H23" s="20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86" t="s">
        <v>70</v>
      </c>
      <c r="C25" s="87"/>
      <c r="D25" s="87"/>
      <c r="E25" s="87"/>
      <c r="F25" s="87"/>
      <c r="G25" s="87"/>
      <c r="H25" s="88"/>
      <c r="I25" s="1"/>
    </row>
    <row r="26" spans="1:9" x14ac:dyDescent="0.25">
      <c r="A26" s="1"/>
      <c r="B26" s="92" t="s">
        <v>64</v>
      </c>
      <c r="C26" s="93"/>
      <c r="D26" s="93"/>
      <c r="E26" s="93"/>
      <c r="F26" s="94"/>
      <c r="G26" s="24">
        <f>(G20+G21-G22)*(1+'Fane 14. Nøgletal'!C12)</f>
        <v>28280242.630672466</v>
      </c>
      <c r="H26" s="14" t="s">
        <v>3</v>
      </c>
      <c r="I26" s="1"/>
    </row>
    <row r="27" spans="1:9" x14ac:dyDescent="0.25">
      <c r="A27" s="1"/>
      <c r="B27" s="95" t="s">
        <v>65</v>
      </c>
      <c r="C27" s="96"/>
      <c r="D27" s="96"/>
      <c r="E27" s="96"/>
      <c r="F27" s="97"/>
      <c r="G27" s="112">
        <v>0</v>
      </c>
      <c r="H27" s="14" t="s">
        <v>3</v>
      </c>
      <c r="I27" s="1"/>
    </row>
    <row r="28" spans="1:9" x14ac:dyDescent="0.25">
      <c r="A28" s="1"/>
      <c r="B28" s="92" t="s">
        <v>66</v>
      </c>
      <c r="C28" s="93"/>
      <c r="D28" s="93"/>
      <c r="E28" s="93"/>
      <c r="F28" s="94"/>
      <c r="G28" s="24">
        <f>(G26+G27)*'Fane 14. Nøgletal'!C27</f>
        <v>565604.85261344933</v>
      </c>
      <c r="H28" s="14" t="s">
        <v>3</v>
      </c>
      <c r="I28" s="1"/>
    </row>
    <row r="29" spans="1:9" x14ac:dyDescent="0.25">
      <c r="A29" s="1"/>
      <c r="B29" s="38"/>
      <c r="C29" s="32"/>
      <c r="D29" s="32"/>
      <c r="E29" s="32"/>
      <c r="F29" s="32"/>
      <c r="G29" s="32"/>
      <c r="H29" s="20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86" t="s">
        <v>73</v>
      </c>
      <c r="C31" s="87"/>
      <c r="D31" s="87"/>
      <c r="E31" s="87"/>
      <c r="F31" s="87"/>
      <c r="G31" s="87"/>
      <c r="H31" s="88"/>
      <c r="I31" s="1"/>
    </row>
    <row r="32" spans="1:9" x14ac:dyDescent="0.25">
      <c r="A32" s="1"/>
      <c r="B32" s="92" t="s">
        <v>74</v>
      </c>
      <c r="C32" s="93"/>
      <c r="D32" s="93"/>
      <c r="E32" s="93"/>
      <c r="F32" s="94"/>
      <c r="G32" s="24">
        <f>(G26+G27-G28)*(1+'Fane 14. Nøgletal'!C12)</f>
        <v>28260616.142286781</v>
      </c>
      <c r="H32" s="14" t="s">
        <v>3</v>
      </c>
      <c r="I32" s="1"/>
    </row>
    <row r="33" spans="1:9" x14ac:dyDescent="0.25">
      <c r="A33" s="1"/>
      <c r="B33" s="92" t="s">
        <v>230</v>
      </c>
      <c r="C33" s="93"/>
      <c r="D33" s="93"/>
      <c r="E33" s="93"/>
      <c r="F33" s="94"/>
      <c r="G33" s="24">
        <f>SUM('Fane 2.1. Økonomisk ramme 2021'!C10,'Fane 2.1. Økonomisk ramme 2021'!C12,'Fane 2.1. Økonomisk ramme 2021'!C14)*(1+'Fane 14. Nøgletal'!C13)</f>
        <v>0</v>
      </c>
      <c r="H33" s="14" t="s">
        <v>3</v>
      </c>
      <c r="I33" s="1"/>
    </row>
    <row r="34" spans="1:9" x14ac:dyDescent="0.25">
      <c r="A34" s="1"/>
      <c r="B34" s="92" t="s">
        <v>75</v>
      </c>
      <c r="C34" s="93"/>
      <c r="D34" s="93"/>
      <c r="E34" s="93"/>
      <c r="F34" s="94"/>
      <c r="G34" s="24">
        <f>(G32+G33)*'Fane 14. Nøgletal'!C27</f>
        <v>565212.32284573559</v>
      </c>
      <c r="H34" s="14" t="s">
        <v>3</v>
      </c>
      <c r="I34" s="1"/>
    </row>
    <row r="35" spans="1:9" x14ac:dyDescent="0.25">
      <c r="A35" s="1"/>
      <c r="B35" s="38"/>
      <c r="C35" s="32"/>
      <c r="D35" s="32"/>
      <c r="E35" s="32"/>
      <c r="F35" s="32"/>
      <c r="G35" s="32"/>
      <c r="H35" s="20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86" t="s">
        <v>100</v>
      </c>
      <c r="C37" s="87"/>
      <c r="D37" s="87"/>
      <c r="E37" s="87"/>
      <c r="F37" s="87"/>
      <c r="G37" s="87"/>
      <c r="H37" s="88"/>
      <c r="I37" s="1"/>
    </row>
    <row r="38" spans="1:9" x14ac:dyDescent="0.25">
      <c r="A38" s="1"/>
      <c r="B38" s="92" t="s">
        <v>99</v>
      </c>
      <c r="C38" s="93"/>
      <c r="D38" s="93"/>
      <c r="E38" s="93"/>
      <c r="F38" s="94"/>
      <c r="G38" s="24">
        <f>(G32+G33-G34)*(1+'Fane 14. Nøgletal'!C13)</f>
        <v>28033287.746038228</v>
      </c>
      <c r="H38" s="14" t="s">
        <v>3</v>
      </c>
      <c r="I38" s="1"/>
    </row>
    <row r="39" spans="1:9" x14ac:dyDescent="0.25">
      <c r="A39" s="1"/>
      <c r="B39" s="92" t="s">
        <v>117</v>
      </c>
      <c r="C39" s="93"/>
      <c r="D39" s="93"/>
      <c r="E39" s="93"/>
      <c r="F39" s="94"/>
      <c r="G39" s="24">
        <f>-'Fane 13. Bortfald'!C18*(1+'Fane 14. Nøgletal'!C13)</f>
        <v>0</v>
      </c>
      <c r="H39" s="14" t="s">
        <v>3</v>
      </c>
      <c r="I39" s="1"/>
    </row>
    <row r="40" spans="1:9" x14ac:dyDescent="0.25">
      <c r="A40" s="1"/>
      <c r="B40" s="92" t="s">
        <v>76</v>
      </c>
      <c r="C40" s="93"/>
      <c r="D40" s="93"/>
      <c r="E40" s="93"/>
      <c r="F40" s="94"/>
      <c r="G40" s="24">
        <f>(G38+G39)*'Fane 14. Nøgletal'!C27</f>
        <v>560665.75492076459</v>
      </c>
      <c r="H40" s="14" t="s">
        <v>3</v>
      </c>
      <c r="I40" s="1"/>
    </row>
    <row r="41" spans="1:9" x14ac:dyDescent="0.25">
      <c r="A41" s="1"/>
      <c r="B41" s="38"/>
      <c r="C41" s="32"/>
      <c r="D41" s="32"/>
      <c r="E41" s="32"/>
      <c r="F41" s="32"/>
      <c r="G41" s="32"/>
      <c r="H41" s="20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86" t="s">
        <v>101</v>
      </c>
      <c r="C43" s="87"/>
      <c r="D43" s="87"/>
      <c r="E43" s="87"/>
      <c r="F43" s="87"/>
      <c r="G43" s="87"/>
      <c r="H43" s="88"/>
      <c r="I43" s="1"/>
    </row>
    <row r="44" spans="1:9" x14ac:dyDescent="0.25">
      <c r="A44" s="1"/>
      <c r="B44" s="92" t="s">
        <v>98</v>
      </c>
      <c r="C44" s="93"/>
      <c r="D44" s="93"/>
      <c r="E44" s="93"/>
      <c r="F44" s="94"/>
      <c r="G44" s="24">
        <f>(G38+G39-G40)*(1+'Fane 14. Nøgletal'!C13)</f>
        <v>27807787.979409095</v>
      </c>
      <c r="H44" s="14" t="s">
        <v>3</v>
      </c>
      <c r="I44" s="1"/>
    </row>
    <row r="45" spans="1:9" x14ac:dyDescent="0.25">
      <c r="A45" s="1"/>
      <c r="B45" s="92" t="s">
        <v>118</v>
      </c>
      <c r="C45" s="93"/>
      <c r="D45" s="93"/>
      <c r="E45" s="93"/>
      <c r="F45" s="94"/>
      <c r="G45" s="24">
        <f>-'Fane 13. Bortfald'!C24*(1+'Fane 14. Nøgletal'!C13)</f>
        <v>0</v>
      </c>
      <c r="H45" s="14" t="s">
        <v>3</v>
      </c>
      <c r="I45" s="1"/>
    </row>
    <row r="46" spans="1:9" x14ac:dyDescent="0.25">
      <c r="A46" s="1"/>
      <c r="B46" s="92" t="s">
        <v>77</v>
      </c>
      <c r="C46" s="93"/>
      <c r="D46" s="93"/>
      <c r="E46" s="93"/>
      <c r="F46" s="94"/>
      <c r="G46" s="24">
        <f>(G44+G45)*'Fane 14. Nøgletal'!C27</f>
        <v>556155.75958818186</v>
      </c>
      <c r="H46" s="14" t="s">
        <v>3</v>
      </c>
      <c r="I46" s="1"/>
    </row>
    <row r="47" spans="1:9" x14ac:dyDescent="0.25">
      <c r="A47" s="1"/>
      <c r="B47" s="38"/>
      <c r="C47" s="32"/>
      <c r="D47" s="32"/>
      <c r="E47" s="32"/>
      <c r="F47" s="32"/>
      <c r="G47" s="32"/>
      <c r="H47" s="20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25">
      <c r="A51" s="1"/>
      <c r="B51" s="86" t="s">
        <v>231</v>
      </c>
      <c r="C51" s="87"/>
      <c r="D51" s="87"/>
      <c r="E51" s="87"/>
      <c r="F51" s="87"/>
      <c r="G51" s="87"/>
      <c r="H51" s="88"/>
      <c r="I51" s="1"/>
    </row>
    <row r="52" spans="1:9" x14ac:dyDescent="0.25">
      <c r="A52" s="1"/>
      <c r="B52" s="92" t="s">
        <v>232</v>
      </c>
      <c r="C52" s="93"/>
      <c r="D52" s="93"/>
      <c r="E52" s="93"/>
      <c r="F52" s="94"/>
      <c r="G52" s="24">
        <f>(G44+G45-G46)*(1+'Fane 14. Nøgletal'!C13)</f>
        <v>27584102.132902727</v>
      </c>
      <c r="H52" s="14" t="s">
        <v>3</v>
      </c>
      <c r="I52" s="1"/>
    </row>
    <row r="53" spans="1:9" x14ac:dyDescent="0.25">
      <c r="A53" s="1"/>
      <c r="B53" s="92" t="s">
        <v>233</v>
      </c>
      <c r="C53" s="93"/>
      <c r="D53" s="93"/>
      <c r="E53" s="93"/>
      <c r="F53" s="94"/>
      <c r="G53" s="24">
        <f>-'Fane 13. Bortfald'!C30*(1+'Fane 14. Nøgletal'!C13)</f>
        <v>0</v>
      </c>
      <c r="H53" s="14" t="s">
        <v>3</v>
      </c>
      <c r="I53" s="1"/>
    </row>
    <row r="54" spans="1:9" x14ac:dyDescent="0.25">
      <c r="A54" s="1"/>
      <c r="B54" s="92" t="s">
        <v>234</v>
      </c>
      <c r="C54" s="93"/>
      <c r="D54" s="93"/>
      <c r="E54" s="93"/>
      <c r="F54" s="94"/>
      <c r="G54" s="24">
        <f>(G52+G53)*'Fane 14. Nøgletal'!C27</f>
        <v>551682.0426580545</v>
      </c>
      <c r="H54" s="14" t="s">
        <v>3</v>
      </c>
      <c r="I54" s="1"/>
    </row>
    <row r="55" spans="1:9" x14ac:dyDescent="0.25">
      <c r="A55" s="1"/>
      <c r="B55" s="38"/>
      <c r="C55" s="32"/>
      <c r="D55" s="32"/>
      <c r="E55" s="32"/>
      <c r="F55" s="32"/>
      <c r="G55" s="32"/>
      <c r="H55" s="20"/>
      <c r="I55" s="1"/>
    </row>
    <row r="56" spans="1:9" x14ac:dyDescent="0.25">
      <c r="A56" s="1"/>
      <c r="B56" s="1"/>
      <c r="C56" s="1"/>
      <c r="D56" s="1"/>
      <c r="E56" s="1"/>
      <c r="F56" s="1"/>
      <c r="G56" s="1"/>
      <c r="H56" s="1"/>
      <c r="I56" s="1"/>
    </row>
  </sheetData>
  <sheetProtection algorithmName="SHA-512" hashValue="2bVLV9uD0BZLHbLoXMAE17MwUZnkj/fTQ+9xAf+JLN8WCzVUWnHspE2Z0ibGm1siamFFS5vdf4VRr/CTXooceg==" saltValue="1cJAMqSpZNDDZG9tgJcDZQ==" spinCount="100000" sheet="1" objects="1" scenarios="1"/>
  <mergeCells count="35">
    <mergeCell ref="B51:H51"/>
    <mergeCell ref="B52:F52"/>
    <mergeCell ref="B53:F53"/>
    <mergeCell ref="B54:F54"/>
    <mergeCell ref="B13:F13"/>
    <mergeCell ref="B14:F14"/>
    <mergeCell ref="B31:H31"/>
    <mergeCell ref="B32:F32"/>
    <mergeCell ref="B37:H37"/>
    <mergeCell ref="B19:H19"/>
    <mergeCell ref="B15:F15"/>
    <mergeCell ref="B16:F16"/>
    <mergeCell ref="B20:F20"/>
    <mergeCell ref="B21:F21"/>
    <mergeCell ref="B22:F22"/>
    <mergeCell ref="B26:F26"/>
    <mergeCell ref="B27:F27"/>
    <mergeCell ref="B28:F28"/>
    <mergeCell ref="B38:F38"/>
    <mergeCell ref="B33:F33"/>
    <mergeCell ref="B34:F34"/>
    <mergeCell ref="B43:H43"/>
    <mergeCell ref="B44:F44"/>
    <mergeCell ref="B46:F46"/>
    <mergeCell ref="B39:F39"/>
    <mergeCell ref="B45:F45"/>
    <mergeCell ref="B40:F40"/>
    <mergeCell ref="B12:F12"/>
    <mergeCell ref="B11:H11"/>
    <mergeCell ref="B7:F7"/>
    <mergeCell ref="B2:H3"/>
    <mergeCell ref="B25:H25"/>
    <mergeCell ref="B5:H5"/>
    <mergeCell ref="B6:F6"/>
    <mergeCell ref="B8:F8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ht="14.25" customHeight="1" x14ac:dyDescent="0.25">
      <c r="A1" s="1"/>
      <c r="B1" s="98" t="s">
        <v>164</v>
      </c>
      <c r="C1" s="98"/>
      <c r="D1" s="98"/>
      <c r="E1" s="98"/>
      <c r="F1" s="98"/>
      <c r="G1" s="98"/>
      <c r="H1" s="98"/>
      <c r="I1" s="1"/>
    </row>
    <row r="2" spans="1:9" ht="15" customHeight="1" x14ac:dyDescent="0.25">
      <c r="A2" s="1"/>
      <c r="B2" s="98"/>
      <c r="C2" s="98"/>
      <c r="D2" s="98"/>
      <c r="E2" s="98"/>
      <c r="F2" s="98"/>
      <c r="G2" s="98"/>
      <c r="H2" s="98"/>
      <c r="I2" s="1"/>
    </row>
    <row r="3" spans="1:9" ht="15" customHeight="1" x14ac:dyDescent="0.25">
      <c r="A3" s="1"/>
      <c r="B3" s="99"/>
      <c r="C3" s="99"/>
      <c r="D3" s="99"/>
      <c r="E3" s="99"/>
      <c r="F3" s="99"/>
      <c r="G3" s="99"/>
      <c r="H3" s="99"/>
      <c r="I3" s="1"/>
    </row>
    <row r="4" spans="1:9" x14ac:dyDescent="0.25">
      <c r="A4" s="1"/>
      <c r="B4" s="86" t="s">
        <v>71</v>
      </c>
      <c r="C4" s="87"/>
      <c r="D4" s="87"/>
      <c r="E4" s="87"/>
      <c r="F4" s="87"/>
      <c r="G4" s="87"/>
      <c r="H4" s="88"/>
      <c r="I4" s="1"/>
    </row>
    <row r="5" spans="1:9" x14ac:dyDescent="0.25">
      <c r="A5" s="1"/>
      <c r="B5" s="92" t="s">
        <v>78</v>
      </c>
      <c r="C5" s="93"/>
      <c r="D5" s="93"/>
      <c r="E5" s="93"/>
      <c r="F5" s="94"/>
      <c r="G5" s="24">
        <v>40320566</v>
      </c>
      <c r="H5" s="14" t="s">
        <v>3</v>
      </c>
      <c r="I5" s="1"/>
    </row>
    <row r="6" spans="1:9" x14ac:dyDescent="0.25">
      <c r="A6" s="1"/>
      <c r="B6" s="92" t="s">
        <v>72</v>
      </c>
      <c r="C6" s="93"/>
      <c r="D6" s="93"/>
      <c r="E6" s="93"/>
      <c r="F6" s="94"/>
      <c r="G6" s="24">
        <f>G5*'Fane 14. Nøgletal'!C18</f>
        <v>366917.15059999999</v>
      </c>
      <c r="H6" s="14" t="s">
        <v>3</v>
      </c>
      <c r="I6" s="1"/>
    </row>
    <row r="7" spans="1:9" x14ac:dyDescent="0.25">
      <c r="A7" s="1"/>
      <c r="B7" s="38"/>
      <c r="C7" s="32"/>
      <c r="D7" s="32"/>
      <c r="E7" s="32"/>
      <c r="F7" s="32"/>
      <c r="G7" s="32"/>
      <c r="H7" s="20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"/>
      <c r="B9" s="86" t="s">
        <v>79</v>
      </c>
      <c r="C9" s="87"/>
      <c r="D9" s="87"/>
      <c r="E9" s="87"/>
      <c r="F9" s="87"/>
      <c r="G9" s="87"/>
      <c r="H9" s="88"/>
      <c r="I9" s="1"/>
    </row>
    <row r="10" spans="1:9" x14ac:dyDescent="0.25">
      <c r="A10" s="1"/>
      <c r="B10" s="92" t="s">
        <v>80</v>
      </c>
      <c r="C10" s="93"/>
      <c r="D10" s="93"/>
      <c r="E10" s="93"/>
      <c r="F10" s="94"/>
      <c r="G10" s="24">
        <f>(G5-G6)*(1+'Fane 14. Nøgletal'!C10)</f>
        <v>40652837.704264499</v>
      </c>
      <c r="H10" s="14" t="s">
        <v>3</v>
      </c>
      <c r="I10" s="1"/>
    </row>
    <row r="11" spans="1:9" x14ac:dyDescent="0.25">
      <c r="A11" s="1"/>
      <c r="B11" s="92" t="s">
        <v>183</v>
      </c>
      <c r="C11" s="93"/>
      <c r="D11" s="93"/>
      <c r="E11" s="93"/>
      <c r="F11" s="94"/>
      <c r="G11" s="24">
        <f>(40499911.3342525-G5)*1.0175</f>
        <v>182483.8776019178</v>
      </c>
      <c r="H11" s="14" t="s">
        <v>3</v>
      </c>
      <c r="I11" s="1"/>
    </row>
    <row r="12" spans="1:9" x14ac:dyDescent="0.25">
      <c r="A12" s="1"/>
      <c r="B12" s="95" t="s">
        <v>81</v>
      </c>
      <c r="C12" s="96"/>
      <c r="D12" s="96"/>
      <c r="E12" s="96"/>
      <c r="F12" s="97"/>
      <c r="G12" s="112">
        <v>0</v>
      </c>
      <c r="H12" s="14" t="s">
        <v>3</v>
      </c>
      <c r="I12" s="1"/>
    </row>
    <row r="13" spans="1:9" x14ac:dyDescent="0.25">
      <c r="A13" s="1"/>
      <c r="B13" s="92" t="s">
        <v>82</v>
      </c>
      <c r="C13" s="93"/>
      <c r="D13" s="93"/>
      <c r="E13" s="93"/>
      <c r="F13" s="94"/>
      <c r="G13" s="24">
        <f>SUM(G10:G12)*'Fane 14. Nøgletal'!C19</f>
        <v>722785.19199903554</v>
      </c>
      <c r="H13" s="14" t="s">
        <v>3</v>
      </c>
      <c r="I13" s="1"/>
    </row>
    <row r="14" spans="1:9" x14ac:dyDescent="0.25">
      <c r="A14" s="1"/>
      <c r="B14" s="38"/>
      <c r="C14" s="32"/>
      <c r="D14" s="32"/>
      <c r="E14" s="32"/>
      <c r="F14" s="32"/>
      <c r="G14" s="32"/>
      <c r="H14" s="20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86" t="s">
        <v>83</v>
      </c>
      <c r="C16" s="87"/>
      <c r="D16" s="87"/>
      <c r="E16" s="87"/>
      <c r="F16" s="87"/>
      <c r="G16" s="87"/>
      <c r="H16" s="88"/>
      <c r="I16" s="1"/>
    </row>
    <row r="17" spans="1:9" x14ac:dyDescent="0.25">
      <c r="A17" s="1"/>
      <c r="B17" s="92" t="s">
        <v>84</v>
      </c>
      <c r="C17" s="93"/>
      <c r="D17" s="93"/>
      <c r="E17" s="93"/>
      <c r="F17" s="94"/>
      <c r="G17" s="24">
        <f>(SUM(G10:G12)-G13)*(1+'Fane 14. Nøgletal'!C10)</f>
        <v>40814505.776690066</v>
      </c>
      <c r="H17" s="14" t="s">
        <v>3</v>
      </c>
      <c r="I17" s="1"/>
    </row>
    <row r="18" spans="1:9" x14ac:dyDescent="0.25">
      <c r="A18" s="1"/>
      <c r="B18" s="95" t="s">
        <v>85</v>
      </c>
      <c r="C18" s="96"/>
      <c r="D18" s="96"/>
      <c r="E18" s="96"/>
      <c r="F18" s="97"/>
      <c r="G18" s="24">
        <v>29853.017475089993</v>
      </c>
      <c r="H18" s="14" t="s">
        <v>3</v>
      </c>
      <c r="I18" s="1"/>
    </row>
    <row r="19" spans="1:9" x14ac:dyDescent="0.25">
      <c r="A19" s="1"/>
      <c r="B19" s="92" t="s">
        <v>86</v>
      </c>
      <c r="C19" s="93"/>
      <c r="D19" s="93"/>
      <c r="E19" s="93"/>
      <c r="F19" s="94"/>
      <c r="G19" s="24">
        <f>G17*'Fane 14. Nøgletal'!C19+G18*'Fane 14. Nøgletal'!C20</f>
        <v>722676.47349944746</v>
      </c>
      <c r="H19" s="14" t="s">
        <v>3</v>
      </c>
      <c r="I19" s="1"/>
    </row>
    <row r="20" spans="1:9" x14ac:dyDescent="0.25">
      <c r="A20" s="1"/>
      <c r="B20" s="38"/>
      <c r="C20" s="32"/>
      <c r="D20" s="32"/>
      <c r="E20" s="32"/>
      <c r="F20" s="32"/>
      <c r="G20" s="32"/>
      <c r="H20" s="20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86" t="s">
        <v>87</v>
      </c>
      <c r="C22" s="87"/>
      <c r="D22" s="87"/>
      <c r="E22" s="87"/>
      <c r="F22" s="87"/>
      <c r="G22" s="87"/>
      <c r="H22" s="88"/>
      <c r="I22" s="1"/>
    </row>
    <row r="23" spans="1:9" x14ac:dyDescent="0.25">
      <c r="A23" s="1"/>
      <c r="B23" s="92" t="s">
        <v>88</v>
      </c>
      <c r="C23" s="93"/>
      <c r="D23" s="93"/>
      <c r="E23" s="93"/>
      <c r="F23" s="94"/>
      <c r="G23" s="24">
        <f>(G17+G18-G19)*(1+'Fane 14. Nøgletal'!C12)</f>
        <v>40912079.462382823</v>
      </c>
      <c r="H23" s="14" t="s">
        <v>3</v>
      </c>
      <c r="I23" s="1"/>
    </row>
    <row r="24" spans="1:9" x14ac:dyDescent="0.25">
      <c r="A24" s="1"/>
      <c r="B24" s="95" t="s">
        <v>89</v>
      </c>
      <c r="C24" s="96"/>
      <c r="D24" s="96"/>
      <c r="E24" s="96"/>
      <c r="F24" s="97"/>
      <c r="G24" s="24">
        <v>61327.741336290004</v>
      </c>
      <c r="H24" s="14" t="s">
        <v>3</v>
      </c>
      <c r="I24" s="1"/>
    </row>
    <row r="25" spans="1:9" x14ac:dyDescent="0.25">
      <c r="A25" s="1"/>
      <c r="B25" s="92" t="s">
        <v>90</v>
      </c>
      <c r="C25" s="93"/>
      <c r="D25" s="93"/>
      <c r="E25" s="93"/>
      <c r="F25" s="94"/>
      <c r="G25" s="24">
        <f>(G23+G24)*'Fane 14. Nøgletal'!C21</f>
        <v>1163644.7645856231</v>
      </c>
      <c r="H25" s="14" t="s">
        <v>3</v>
      </c>
      <c r="I25" s="1"/>
    </row>
    <row r="26" spans="1:9" x14ac:dyDescent="0.25">
      <c r="A26" s="1"/>
      <c r="B26" s="38"/>
      <c r="C26" s="32"/>
      <c r="D26" s="32"/>
      <c r="E26" s="32"/>
      <c r="F26" s="32"/>
      <c r="G26" s="32"/>
      <c r="H26" s="20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86" t="s">
        <v>91</v>
      </c>
      <c r="C28" s="87"/>
      <c r="D28" s="87"/>
      <c r="E28" s="87"/>
      <c r="F28" s="87"/>
      <c r="G28" s="87"/>
      <c r="H28" s="88"/>
      <c r="I28" s="1"/>
    </row>
    <row r="29" spans="1:9" x14ac:dyDescent="0.25">
      <c r="A29" s="1"/>
      <c r="B29" s="92" t="s">
        <v>92</v>
      </c>
      <c r="C29" s="93"/>
      <c r="D29" s="93"/>
      <c r="E29" s="93"/>
      <c r="F29" s="94"/>
      <c r="G29" s="24">
        <f>(G23+G24-G25)*(1+'Fane 14. Nøgletal'!C12)</f>
        <v>40594014.759184428</v>
      </c>
      <c r="H29" s="14" t="s">
        <v>3</v>
      </c>
      <c r="I29" s="1"/>
    </row>
    <row r="30" spans="1:9" x14ac:dyDescent="0.25">
      <c r="A30" s="1"/>
      <c r="B30" s="92" t="s">
        <v>235</v>
      </c>
      <c r="C30" s="93"/>
      <c r="D30" s="93"/>
      <c r="E30" s="93"/>
      <c r="F30" s="94"/>
      <c r="G30" s="24">
        <f>SUM('Fane 2.1. Økonomisk ramme 2021'!C11,'Fane 2.1. Økonomisk ramme 2021'!C13,'Fane 2.1. Økonomisk ramme 2021'!C15)*(1+'Fane 14. Nøgletal'!C13)</f>
        <v>10748.54188044</v>
      </c>
      <c r="H30" s="14" t="s">
        <v>3</v>
      </c>
      <c r="I30" s="1"/>
    </row>
    <row r="31" spans="1:9" x14ac:dyDescent="0.25">
      <c r="A31" s="1"/>
      <c r="B31" s="92" t="s">
        <v>93</v>
      </c>
      <c r="C31" s="93"/>
      <c r="D31" s="93"/>
      <c r="E31" s="93"/>
      <c r="F31" s="94"/>
      <c r="G31" s="24">
        <f>G29*'Fane 14. Nøgletal'!C21+G30*'Fane 14. Nøgletal'!C22</f>
        <v>1153165.60406255</v>
      </c>
      <c r="H31" s="14" t="s">
        <v>3</v>
      </c>
      <c r="I31" s="1"/>
    </row>
    <row r="32" spans="1:9" x14ac:dyDescent="0.25">
      <c r="A32" s="1"/>
      <c r="B32" s="38"/>
      <c r="C32" s="32"/>
      <c r="D32" s="32"/>
      <c r="E32" s="32"/>
      <c r="F32" s="32"/>
      <c r="G32" s="32"/>
      <c r="H32" s="20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86" t="s">
        <v>102</v>
      </c>
      <c r="C34" s="87"/>
      <c r="D34" s="87"/>
      <c r="E34" s="87"/>
      <c r="F34" s="87"/>
      <c r="G34" s="87"/>
      <c r="H34" s="88"/>
      <c r="I34" s="1"/>
    </row>
    <row r="35" spans="1:9" x14ac:dyDescent="0.25">
      <c r="A35" s="1"/>
      <c r="B35" s="92" t="s">
        <v>97</v>
      </c>
      <c r="C35" s="93"/>
      <c r="D35" s="93"/>
      <c r="E35" s="93"/>
      <c r="F35" s="94"/>
      <c r="G35" s="24">
        <f>(G29+G30-G31)*(1+'Fane 14. Nøgletal'!C13)</f>
        <v>39932907.188905746</v>
      </c>
      <c r="H35" s="14" t="s">
        <v>3</v>
      </c>
      <c r="I35" s="1"/>
    </row>
    <row r="36" spans="1:9" x14ac:dyDescent="0.25">
      <c r="A36" s="1"/>
      <c r="B36" s="92" t="s">
        <v>122</v>
      </c>
      <c r="C36" s="93"/>
      <c r="D36" s="93"/>
      <c r="E36" s="93"/>
      <c r="F36" s="94"/>
      <c r="G36" s="24">
        <f>-'Fane 13. Bortfald'!E18*(1+'Fane 14. Nøgletal'!C12)</f>
        <v>0</v>
      </c>
      <c r="H36" s="14" t="s">
        <v>3</v>
      </c>
      <c r="I36" s="1"/>
    </row>
    <row r="37" spans="1:9" x14ac:dyDescent="0.25">
      <c r="A37" s="1"/>
      <c r="B37" s="92" t="s">
        <v>94</v>
      </c>
      <c r="C37" s="93"/>
      <c r="D37" s="93"/>
      <c r="E37" s="93"/>
      <c r="F37" s="94"/>
      <c r="G37" s="24">
        <f>(G35+G36)*'Fane 14. Nøgletal'!C22</f>
        <v>1098154.9476949081</v>
      </c>
      <c r="H37" s="14" t="s">
        <v>3</v>
      </c>
      <c r="I37" s="1"/>
    </row>
    <row r="38" spans="1:9" x14ac:dyDescent="0.25">
      <c r="A38" s="1"/>
      <c r="B38" s="38"/>
      <c r="C38" s="32"/>
      <c r="D38" s="32"/>
      <c r="E38" s="32"/>
      <c r="F38" s="32"/>
      <c r="G38" s="32"/>
      <c r="H38" s="20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86" t="s">
        <v>103</v>
      </c>
      <c r="C40" s="87"/>
      <c r="D40" s="87"/>
      <c r="E40" s="87"/>
      <c r="F40" s="87"/>
      <c r="G40" s="87"/>
      <c r="H40" s="88"/>
      <c r="I40" s="1"/>
    </row>
    <row r="41" spans="1:9" x14ac:dyDescent="0.25">
      <c r="A41" s="1"/>
      <c r="B41" s="92" t="s">
        <v>96</v>
      </c>
      <c r="C41" s="93"/>
      <c r="D41" s="93"/>
      <c r="E41" s="93"/>
      <c r="F41" s="94"/>
      <c r="G41" s="24">
        <f>(G35+G36-G37)*(1+'Fane 14. Nøgletal'!C13)</f>
        <v>39308536.21855361</v>
      </c>
      <c r="H41" s="14" t="s">
        <v>3</v>
      </c>
      <c r="I41" s="1"/>
    </row>
    <row r="42" spans="1:9" x14ac:dyDescent="0.25">
      <c r="A42" s="1"/>
      <c r="B42" s="92" t="s">
        <v>123</v>
      </c>
      <c r="C42" s="93"/>
      <c r="D42" s="93"/>
      <c r="E42" s="93"/>
      <c r="F42" s="94"/>
      <c r="G42" s="24">
        <f>-'Fane 13. Bortfald'!E24*(1+'Fane 14. Nøgletal'!C13)</f>
        <v>0</v>
      </c>
      <c r="H42" s="14" t="s">
        <v>3</v>
      </c>
      <c r="I42" s="1"/>
    </row>
    <row r="43" spans="1:9" x14ac:dyDescent="0.25">
      <c r="A43" s="1"/>
      <c r="B43" s="92" t="s">
        <v>95</v>
      </c>
      <c r="C43" s="93"/>
      <c r="D43" s="93"/>
      <c r="E43" s="93"/>
      <c r="F43" s="94"/>
      <c r="G43" s="24">
        <f>(G41+G42)*'Fane 14. Nøgletal'!C22</f>
        <v>1080984.7460102243</v>
      </c>
      <c r="H43" s="14" t="s">
        <v>3</v>
      </c>
      <c r="I43" s="1"/>
    </row>
    <row r="44" spans="1:9" x14ac:dyDescent="0.25">
      <c r="A44" s="1"/>
      <c r="B44" s="38"/>
      <c r="C44" s="32"/>
      <c r="D44" s="32"/>
      <c r="E44" s="32"/>
      <c r="F44" s="32"/>
      <c r="G44" s="32"/>
      <c r="H44" s="20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86" t="s">
        <v>240</v>
      </c>
      <c r="C46" s="87"/>
      <c r="D46" s="87"/>
      <c r="E46" s="87"/>
      <c r="F46" s="87"/>
      <c r="G46" s="87"/>
      <c r="H46" s="88"/>
      <c r="I46" s="1"/>
    </row>
    <row r="47" spans="1:9" x14ac:dyDescent="0.25">
      <c r="A47" s="1"/>
      <c r="B47" s="92" t="s">
        <v>241</v>
      </c>
      <c r="C47" s="93"/>
      <c r="D47" s="93"/>
      <c r="E47" s="93"/>
      <c r="F47" s="94"/>
      <c r="G47" s="24">
        <f>(G41+G42-G43)*(1+'Fane 14. Nøgletal'!C13)</f>
        <v>38693927.600508414</v>
      </c>
      <c r="H47" s="14" t="s">
        <v>3</v>
      </c>
      <c r="I47" s="1"/>
    </row>
    <row r="48" spans="1:9" x14ac:dyDescent="0.25">
      <c r="A48" s="1"/>
      <c r="B48" s="92" t="s">
        <v>242</v>
      </c>
      <c r="C48" s="93"/>
      <c r="D48" s="93"/>
      <c r="E48" s="93"/>
      <c r="F48" s="94"/>
      <c r="G48" s="24">
        <f>-'Fane 13. Bortfald'!E30*(1+'Fane 14. Nøgletal'!C13)</f>
        <v>0</v>
      </c>
      <c r="H48" s="14" t="s">
        <v>3</v>
      </c>
      <c r="I48" s="1"/>
    </row>
    <row r="49" spans="1:9" x14ac:dyDescent="0.25">
      <c r="A49" s="1"/>
      <c r="B49" s="92" t="s">
        <v>243</v>
      </c>
      <c r="C49" s="93"/>
      <c r="D49" s="93"/>
      <c r="E49" s="93"/>
      <c r="F49" s="94"/>
      <c r="G49" s="24">
        <f>(G47+G48)*'Fane 14. Nøgletal'!C22</f>
        <v>1064083.0090139813</v>
      </c>
      <c r="H49" s="14" t="s">
        <v>3</v>
      </c>
      <c r="I49" s="1"/>
    </row>
    <row r="50" spans="1:9" x14ac:dyDescent="0.25">
      <c r="A50" s="1"/>
      <c r="B50" s="38"/>
      <c r="C50" s="32"/>
      <c r="D50" s="32"/>
      <c r="E50" s="32"/>
      <c r="F50" s="32"/>
      <c r="G50" s="32"/>
      <c r="H50" s="20"/>
      <c r="I50" s="1"/>
    </row>
  </sheetData>
  <sheetProtection algorithmName="SHA-512" hashValue="HQd8fu2O0UQyq2p+hofL0EMqAnN7doeOX7evJC7uq77yHQxLtsTOXW5Sjwp273kKZI9c/15OTZtAGUKy68mO0A==" saltValue="R6BR+4GKvvc/ldveeAxOaA==" spinCount="100000" sheet="1" objects="1" scenarios="1"/>
  <mergeCells count="33">
    <mergeCell ref="B42:F42"/>
    <mergeCell ref="B23:F23"/>
    <mergeCell ref="B24:F24"/>
    <mergeCell ref="B25:F25"/>
    <mergeCell ref="B37:F37"/>
    <mergeCell ref="B40:H40"/>
    <mergeCell ref="B41:F41"/>
    <mergeCell ref="B28:H28"/>
    <mergeCell ref="B29:F29"/>
    <mergeCell ref="B31:F31"/>
    <mergeCell ref="B34:H34"/>
    <mergeCell ref="B36:F36"/>
    <mergeCell ref="B17:F17"/>
    <mergeCell ref="B18:F18"/>
    <mergeCell ref="B30:F30"/>
    <mergeCell ref="B22:H22"/>
    <mergeCell ref="B11:F11"/>
    <mergeCell ref="B1:H3"/>
    <mergeCell ref="B46:H46"/>
    <mergeCell ref="B47:F47"/>
    <mergeCell ref="B48:F48"/>
    <mergeCell ref="B49:F49"/>
    <mergeCell ref="B35:F35"/>
    <mergeCell ref="B43:F43"/>
    <mergeCell ref="B19:F19"/>
    <mergeCell ref="B4:H4"/>
    <mergeCell ref="B5:F5"/>
    <mergeCell ref="B6:F6"/>
    <mergeCell ref="B9:H9"/>
    <mergeCell ref="B10:F10"/>
    <mergeCell ref="B12:F12"/>
    <mergeCell ref="B13:F13"/>
    <mergeCell ref="B16:H1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5" width="9.140625" style="2"/>
    <col min="6" max="6" width="19.85546875" style="2" customWidth="1"/>
    <col min="7" max="7" width="10.285156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5" t="s">
        <v>116</v>
      </c>
      <c r="C3" s="75"/>
      <c r="D3" s="75"/>
      <c r="E3" s="75"/>
      <c r="F3" s="75"/>
      <c r="G3" s="75"/>
      <c r="H3" s="75"/>
      <c r="I3" s="1"/>
    </row>
    <row r="4" spans="1:9" ht="15" customHeight="1" x14ac:dyDescent="0.25">
      <c r="A4" s="1"/>
      <c r="B4" s="75"/>
      <c r="C4" s="75"/>
      <c r="D4" s="75"/>
      <c r="E4" s="75"/>
      <c r="F4" s="75"/>
      <c r="G4" s="75"/>
      <c r="H4" s="75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6" t="s">
        <v>10</v>
      </c>
      <c r="C8" s="87"/>
      <c r="D8" s="87"/>
      <c r="E8" s="87"/>
      <c r="F8" s="87"/>
      <c r="G8" s="87"/>
      <c r="H8" s="88"/>
      <c r="I8" s="1"/>
    </row>
    <row r="9" spans="1:9" x14ac:dyDescent="0.25">
      <c r="A9" s="1"/>
      <c r="B9" s="92" t="s">
        <v>104</v>
      </c>
      <c r="C9" s="93"/>
      <c r="D9" s="93"/>
      <c r="E9" s="93"/>
      <c r="F9" s="94"/>
      <c r="G9" s="23">
        <v>2.8296782502218103E-3</v>
      </c>
      <c r="H9" s="14"/>
      <c r="I9" s="1"/>
    </row>
    <row r="10" spans="1:9" x14ac:dyDescent="0.25">
      <c r="A10" s="1"/>
      <c r="B10" s="92" t="s">
        <v>105</v>
      </c>
      <c r="C10" s="93"/>
      <c r="D10" s="93"/>
      <c r="E10" s="93"/>
      <c r="F10" s="94"/>
      <c r="G10" s="23">
        <v>0</v>
      </c>
      <c r="H10" s="14"/>
      <c r="I10" s="1"/>
    </row>
    <row r="11" spans="1:9" x14ac:dyDescent="0.25">
      <c r="A11" s="1"/>
      <c r="B11" s="92" t="s">
        <v>106</v>
      </c>
      <c r="C11" s="93"/>
      <c r="D11" s="93"/>
      <c r="E11" s="93"/>
      <c r="F11" s="94"/>
      <c r="G11" s="41">
        <v>3.4325089427373824E-3</v>
      </c>
      <c r="H11" s="14"/>
      <c r="I11" s="1"/>
    </row>
    <row r="12" spans="1:9" x14ac:dyDescent="0.25">
      <c r="A12" s="1"/>
      <c r="B12" s="38"/>
      <c r="C12" s="32"/>
      <c r="D12" s="32"/>
      <c r="E12" s="32"/>
      <c r="F12" s="32"/>
      <c r="G12" s="32"/>
      <c r="H12" s="20"/>
      <c r="I12" s="1"/>
    </row>
    <row r="13" spans="1:9" ht="40.5" customHeight="1" x14ac:dyDescent="0.25">
      <c r="A13" s="1"/>
      <c r="B13" s="77" t="s">
        <v>258</v>
      </c>
      <c r="C13" s="78"/>
      <c r="D13" s="78"/>
      <c r="E13" s="78"/>
      <c r="F13" s="78"/>
      <c r="G13" s="78"/>
      <c r="H13" s="79"/>
      <c r="I13" s="1"/>
    </row>
    <row r="14" spans="1:9" ht="14.25" customHeight="1" x14ac:dyDescent="0.25">
      <c r="A14" s="18"/>
      <c r="B14" s="100"/>
      <c r="C14" s="100"/>
      <c r="D14" s="100"/>
      <c r="E14" s="100"/>
      <c r="F14" s="100"/>
      <c r="G14" s="100"/>
      <c r="H14" s="100"/>
      <c r="I14" s="18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algorithmName="SHA-512" hashValue="NO6FES6jQWVzoLO3Zc+cOrwh2FrTSDrcO87YrDhc23eKk6W45AQ825Ki4yusYS8bMC/bscIhCAIrDKP5UT7/dw==" saltValue="wUVCPwCEsp9SGeKgAoiWiw==" spinCount="100000" sheet="1" objects="1" scenarios="1"/>
  <mergeCells count="7">
    <mergeCell ref="B3:H4"/>
    <mergeCell ref="B14:H14"/>
    <mergeCell ref="B9:F9"/>
    <mergeCell ref="B8:H8"/>
    <mergeCell ref="B10:F10"/>
    <mergeCell ref="B11:F11"/>
    <mergeCell ref="B13:H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19</vt:i4>
      </vt:variant>
    </vt:vector>
  </HeadingPairs>
  <TitlesOfParts>
    <vt:vector size="19" baseType="lpstr">
      <vt:lpstr>1. Forside</vt:lpstr>
      <vt:lpstr>Fane 2.1. Økonomisk ramme 2021</vt:lpstr>
      <vt:lpstr>Fane 2.2. Økonomisk ramme 2022</vt:lpstr>
      <vt:lpstr>Fane 2.3. Økonomisk ramme 2023</vt:lpstr>
      <vt:lpstr>Fane 2.4. Økonomisk ramme 2024</vt:lpstr>
      <vt:lpstr>Fane 3. Omkostninger i ØR2020</vt:lpstr>
      <vt:lpstr>Fane 4.1. Gen. krav - drift</vt:lpstr>
      <vt:lpstr>Fane 4.2. Gen. krav - anlæg</vt:lpstr>
      <vt:lpstr>Fane 5. Individuelt eff. krav</vt:lpstr>
      <vt:lpstr>Fane 6. Ikke-påvirkelige omk.</vt:lpstr>
      <vt:lpstr>Fane 7. Kontrol af ØR2019</vt:lpstr>
      <vt:lpstr>Fane 8. Korrektion af ØR2019</vt:lpstr>
      <vt:lpstr>Fane 9. Anlægsprojekter</vt:lpstr>
      <vt:lpstr>Fane 10.1. Varige tillæg</vt:lpstr>
      <vt:lpstr>Fane 10.2. Engangstillæg</vt:lpstr>
      <vt:lpstr>Fane 11. Periodevise driftsomk.</vt:lpstr>
      <vt:lpstr>Fane 12. Tilknyttet virksomhed</vt:lpstr>
      <vt:lpstr>Fane 13. Bortfald</vt:lpstr>
      <vt:lpstr>Fane 14.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2020-08-25T08:48:54Z</dcterms:modified>
</cp:coreProperties>
</file>