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Arwos Vand AS (V015)\ØR2025\"/>
    </mc:Choice>
  </mc:AlternateContent>
  <xr:revisionPtr revIDLastSave="0" documentId="13_ncr:1_{72451FDD-D1FF-42E3-8728-704AD0C1282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<sst xmlns="http://schemas.openxmlformats.org/spreadsheetml/2006/main" count="451" uniqueCount="207">
  <si>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</si>
  <si>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</si>
  <si>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</si>
  <si>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</si>
  <si>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</si>
  <si>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</si>
  <si>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</si>
  <si>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</si>
  <si>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</si>
  <si>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</si>
  <si>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</si>
  <si>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</si>
  <si>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</si>
  <si>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</si>
  <si>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</si>
  <si>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</si>
  <si>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</si>
  <si>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</si>
  <si>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</si>
  <si>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</si>
  <si>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</si>
  <si>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</si>
  <si>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</si>
  <si>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</si>
  <si>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</si>
  <si>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</si>
  <si>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</si>
  <si>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</si>
  <si>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</si>
  <si>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</si>
  <si>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</si>
  <si>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</si>
  <si>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</si>
  <si>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</si>
  <si>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</si>
  <si>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</si>
  <si>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</si>
  <si>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</si>
  <si>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</si>
  <si>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</si>
  <si>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</si>
  <si>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</si>
  <si>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</si>
  <si>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</si>
  <si>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</si>
  <si>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</si>
  <si>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</si>
  <si>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</si>
  <si>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</si>
  <si>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</si>
  <si>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</si>
  <si>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</si>
  <si>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</si>
  <si>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</si>
  <si>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</si>
  <si>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</si>
  <si>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</si>
  <si>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</si>
  <si>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</si>
  <si>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</si>
  <si>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</si>
  <si>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</si>
  <si>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</si>
  <si>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</si>
  <si>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</si>
  <si>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</si>
  <si>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</si>
  <si>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</si>
  <si>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</si>
  <si>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</si>
  <si>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</si>
  <si>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</si>
  <si>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</si>
  <si>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</si>
  <si>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</si>
  <si>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</si>
  <si>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</si>
  <si>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</si>
  <si>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</si>
  <si>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</si>
  <si>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</si>
  <si>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</si>
  <si>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</si>
  <si>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</si>
  <si>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</si>
  <si>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</si>
  <si>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</si>
  <si>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</si>
  <si>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</si>
  <si>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</si>
  <si>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</si>
  <si>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</si>
  <si>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</si>
  <si>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</si>
  <si>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</si>
  <si>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</si>
  <si>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</si>
  <si>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</si>
  <si>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</si>
  <si>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</si>
  <si>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</si>
  <si>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</si>
  <si>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</si>
  <si>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</si>
  <si>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</si>
  <si>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</si>
  <si>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</si>
  <si>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</si>
  <si>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</si>
  <si>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</si>
  <si>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</si>
  <si>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</si>
  <si>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</si>
  <si>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</si>
  <si>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</si>
  <si>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</si>
  <si>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</si>
  <si>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</si>
  <si>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</si>
  <si>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</si>
  <si>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</si>
  <si>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</si>
  <si>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</si>
  <si>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</si>
  <si>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</si>
  <si>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</si>
  <si>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</si>
  <si>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</si>
  <si>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</si>
  <si>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</si>
  <si>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</si>
  <si>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</si>
  <si>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</si>
  <si>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</si>
  <si>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</si>
  <si>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</si>
  <si>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</si>
  <si>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</si>
  <si>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</si>
  <si>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</si>
  <si>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</si>
  <si>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</si>
  <si>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</si>
  <si>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</si>
  <si>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</si>
  <si>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</si>
  <si>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</si>
  <si>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</si>
  <si>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</si>
  <si>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</si>
  <si>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</si>
  <si>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</si>
  <si>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</si>
  <si>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</si>
  <si>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</si>
  <si>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</si>
  <si>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</si>
  <si>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</si>
  <si>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</si>
  <si>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</si>
  <si>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</si>
  <si>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</si>
  <si>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</si>
  <si>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</si>
  <si>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</si>
  <si>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</si>
  <si>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</si>
  <si>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</si>
  <si>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</si>
  <si>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</si>
  <si>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</si>
  <si>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</si>
  <si>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</si>
  <si>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</si>
  <si>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</si>
  <si>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</si>
  <si>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</si>
  <si>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</si>
  <si>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</si>
  <si>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</si>
  <si>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</si>
  <si>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</si>
  <si>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</si>
  <si>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</si>
  <si>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</si>
  <si>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</si>
  <si>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</si>
  <si>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</si>
  <si>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</si>
  <si>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</si>
  <si>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</si>
  <si>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</si>
  <si>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</si>
  <si>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</si>
  <si>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Generelt effektiviseringskrav til brug for anlægsomkostninger i ØR2025-2026</t>
  </si>
  <si>
    <t>Prisudvikling til brug for ØR2025-2026</t>
  </si>
  <si>
    <t>Til økonomisk ramme for 2025-2026</t>
  </si>
  <si>
    <t>Afgift for ledningsført vand</t>
  </si>
  <si>
    <t>Afgift til Forsyningssekretariatet</t>
  </si>
  <si>
    <t>Køb af ydelser og produkter fra andre vandselskaber reguleret af vandsektorloven</t>
  </si>
  <si>
    <t>Ejendomsskatter</t>
  </si>
  <si>
    <t>Øvrige afgifter</t>
  </si>
  <si>
    <t>2023 Elektroniske drikkevandsmålere</t>
  </si>
  <si>
    <t>Sikre stabil forsyningssikkerhed og nedbringe vandspild</t>
  </si>
  <si>
    <t>Kolstrup 594505</t>
  </si>
  <si>
    <t>2023 Vandtilslutninger (mindre) 594084</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</si>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</sst>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165" fontId="8" fillId="4" borderId="1" xfId="1" applyNumberFormat="1" applyFont="1" applyFill="1" applyBorder="1" applyProtection="1"/>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9" t="s">
        <v>4</v>
      </c>
      <c r="D6" s="89"/>
      <c r="E6" s="89"/>
      <c r="F6" s="89"/>
      <c r="G6" s="1"/>
    </row>
    <row r="7" spans="1:7" ht="15" customHeight="1" x14ac:dyDescent="0.25">
      <c r="A7" s="1"/>
      <c r="B7" s="3"/>
      <c r="C7" s="89"/>
      <c r="D7" s="89"/>
      <c r="E7" s="89"/>
      <c r="F7" s="89"/>
      <c r="G7" s="1"/>
    </row>
    <row r="8" spans="1:7" ht="15.75" x14ac:dyDescent="0.25">
      <c r="A8" s="1"/>
      <c r="B8" s="4"/>
      <c r="C8" s="91" t="s">
        <v>196</v>
      </c>
      <c r="D8" s="91"/>
      <c r="E8" s="91"/>
      <c r="F8" s="91"/>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90" t="s">
        <v>5</v>
      </c>
      <c r="D11" s="90"/>
      <c r="E11" s="90"/>
      <c r="F11" s="90"/>
      <c r="G11" s="1"/>
    </row>
    <row r="12" spans="1:7" x14ac:dyDescent="0.25">
      <c r="A12" s="1"/>
      <c r="B12" s="1"/>
      <c r="C12" s="1"/>
      <c r="D12" s="1"/>
      <c r="E12" s="1"/>
      <c r="F12" s="1"/>
      <c r="G12" s="1"/>
    </row>
    <row r="13" spans="1:7" x14ac:dyDescent="0.25">
      <c r="A13" s="1"/>
      <c r="B13" s="6" t="s">
        <v>6</v>
      </c>
      <c r="C13" s="86" t="s">
        <v>124</v>
      </c>
      <c r="D13" s="87"/>
      <c r="E13" s="87"/>
      <c r="F13" s="88"/>
      <c r="G13" s="1"/>
    </row>
    <row r="14" spans="1:7" x14ac:dyDescent="0.25">
      <c r="A14" s="1"/>
      <c r="B14" s="6" t="s">
        <v>14</v>
      </c>
      <c r="C14" s="86" t="s">
        <v>159</v>
      </c>
      <c r="D14" s="87"/>
      <c r="E14" s="87"/>
      <c r="F14" s="88"/>
      <c r="G14" s="1"/>
    </row>
    <row r="15" spans="1:7" x14ac:dyDescent="0.25">
      <c r="A15" s="1"/>
      <c r="B15" s="6" t="s">
        <v>29</v>
      </c>
      <c r="C15" s="86" t="s">
        <v>107</v>
      </c>
      <c r="D15" s="87"/>
      <c r="E15" s="87"/>
      <c r="F15" s="88"/>
      <c r="G15" s="1"/>
    </row>
    <row r="16" spans="1:7" x14ac:dyDescent="0.25">
      <c r="A16" s="1"/>
      <c r="B16" s="6" t="s">
        <v>30</v>
      </c>
      <c r="C16" s="86" t="s">
        <v>125</v>
      </c>
      <c r="D16" s="87"/>
      <c r="E16" s="87"/>
      <c r="F16" s="88"/>
      <c r="G16" s="1"/>
    </row>
    <row r="17" spans="1:7" x14ac:dyDescent="0.25">
      <c r="A17" s="1"/>
      <c r="B17" s="6" t="s">
        <v>57</v>
      </c>
      <c r="C17" s="86" t="s">
        <v>126</v>
      </c>
      <c r="D17" s="87"/>
      <c r="E17" s="87"/>
      <c r="F17" s="88"/>
      <c r="G17" s="1"/>
    </row>
    <row r="18" spans="1:7" x14ac:dyDescent="0.25">
      <c r="A18" s="1"/>
      <c r="B18" s="6" t="s">
        <v>49</v>
      </c>
      <c r="C18" s="92" t="s">
        <v>42</v>
      </c>
      <c r="D18" s="93"/>
      <c r="E18" s="93"/>
      <c r="F18" s="94"/>
      <c r="G18" s="1"/>
    </row>
    <row r="19" spans="1:7" x14ac:dyDescent="0.25">
      <c r="A19" s="1"/>
      <c r="B19" s="6" t="s">
        <v>50</v>
      </c>
      <c r="C19" s="92" t="s">
        <v>43</v>
      </c>
      <c r="D19" s="93"/>
      <c r="E19" s="93"/>
      <c r="F19" s="94"/>
      <c r="G19" s="1"/>
    </row>
    <row r="20" spans="1:7" x14ac:dyDescent="0.25">
      <c r="A20" s="1"/>
      <c r="B20" s="6" t="s">
        <v>7</v>
      </c>
      <c r="C20" s="92" t="s">
        <v>9</v>
      </c>
      <c r="D20" s="93"/>
      <c r="E20" s="93"/>
      <c r="F20" s="94"/>
      <c r="G20" s="1"/>
    </row>
    <row r="21" spans="1:7" x14ac:dyDescent="0.25">
      <c r="A21" s="1"/>
      <c r="B21" s="6" t="s">
        <v>51</v>
      </c>
      <c r="C21" s="83" t="s">
        <v>11</v>
      </c>
      <c r="D21" s="84"/>
      <c r="E21" s="84"/>
      <c r="F21" s="85"/>
      <c r="G21" s="1"/>
    </row>
    <row r="22" spans="1:7" x14ac:dyDescent="0.25">
      <c r="A22" s="1"/>
      <c r="B22" s="6" t="s">
        <v>37</v>
      </c>
      <c r="C22" s="77" t="s">
        <v>127</v>
      </c>
      <c r="D22" s="78"/>
      <c r="E22" s="78"/>
      <c r="F22" s="79"/>
      <c r="G22" s="1"/>
    </row>
    <row r="23" spans="1:7" x14ac:dyDescent="0.25">
      <c r="A23" s="1"/>
      <c r="B23" s="6" t="s">
        <v>8</v>
      </c>
      <c r="C23" s="77" t="s">
        <v>89</v>
      </c>
      <c r="D23" s="78"/>
      <c r="E23" s="78"/>
      <c r="F23" s="79"/>
      <c r="G23" s="1"/>
    </row>
    <row r="24" spans="1:7" x14ac:dyDescent="0.25">
      <c r="A24" s="1"/>
      <c r="B24" s="6" t="s">
        <v>85</v>
      </c>
      <c r="C24" s="77" t="s">
        <v>78</v>
      </c>
      <c r="D24" s="78"/>
      <c r="E24" s="78"/>
      <c r="F24" s="79"/>
      <c r="G24" s="1"/>
    </row>
    <row r="25" spans="1:7" x14ac:dyDescent="0.25">
      <c r="A25" s="1"/>
      <c r="B25" s="6" t="s">
        <v>86</v>
      </c>
      <c r="C25" s="77" t="s">
        <v>38</v>
      </c>
      <c r="D25" s="78"/>
      <c r="E25" s="78"/>
      <c r="F25" s="79"/>
      <c r="G25" s="1"/>
    </row>
    <row r="26" spans="1:7" x14ac:dyDescent="0.25">
      <c r="A26" s="1"/>
      <c r="B26" s="6" t="s">
        <v>87</v>
      </c>
      <c r="C26" s="77" t="s">
        <v>39</v>
      </c>
      <c r="D26" s="78"/>
      <c r="E26" s="78"/>
      <c r="F26" s="79"/>
      <c r="G26" s="1"/>
    </row>
    <row r="27" spans="1:7" x14ac:dyDescent="0.25">
      <c r="A27" s="1"/>
      <c r="B27" s="6" t="s">
        <v>52</v>
      </c>
      <c r="C27" s="77" t="s">
        <v>58</v>
      </c>
      <c r="D27" s="78"/>
      <c r="E27" s="78"/>
      <c r="F27" s="79"/>
      <c r="G27" s="1"/>
    </row>
    <row r="28" spans="1:7" x14ac:dyDescent="0.25">
      <c r="A28" s="1"/>
      <c r="B28" s="6" t="s">
        <v>46</v>
      </c>
      <c r="C28" s="77" t="s">
        <v>31</v>
      </c>
      <c r="D28" s="78"/>
      <c r="E28" s="78"/>
      <c r="F28" s="79"/>
      <c r="G28" s="1"/>
    </row>
    <row r="29" spans="1:7" x14ac:dyDescent="0.25">
      <c r="A29" s="1"/>
      <c r="B29" s="6" t="s">
        <v>88</v>
      </c>
      <c r="C29" s="80" t="s">
        <v>47</v>
      </c>
      <c r="D29" s="81"/>
      <c r="E29" s="81"/>
      <c r="F29" s="8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Yop8e1+ErYfx5bSel4yrSGFxFakr/XlGfPDKsl6C/amReVmD1PLHn9/jXkDodQrLzsusw1qQt+g7v9CUzvD8xQ==" saltValue="AYN1hiKJDJtcP6eAcDkRxw=="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142</v>
      </c>
      <c r="C8" s="100"/>
      <c r="D8" s="101"/>
      <c r="E8" s="1"/>
    </row>
    <row r="9" spans="1:5" ht="15" customHeight="1" x14ac:dyDescent="0.25">
      <c r="A9" s="1"/>
      <c r="B9" s="51" t="s">
        <v>27</v>
      </c>
      <c r="C9" s="45" t="s">
        <v>145</v>
      </c>
      <c r="D9" s="11"/>
      <c r="E9" s="1"/>
    </row>
    <row r="10" spans="1:5" ht="15" customHeight="1" x14ac:dyDescent="0.25">
      <c r="A10" s="1"/>
      <c r="B10" s="65" t="s">
        <v>197</v>
      </c>
      <c r="C10" s="66">
        <v>7669992</v>
      </c>
      <c r="D10" s="14" t="s">
        <v>3</v>
      </c>
      <c r="E10" s="1"/>
    </row>
    <row r="11" spans="1:5" x14ac:dyDescent="0.25">
      <c r="A11" s="1"/>
      <c r="B11" s="65" t="s">
        <v>198</v>
      </c>
      <c r="C11" s="66">
        <v>63800</v>
      </c>
      <c r="D11" s="14" t="s">
        <v>3</v>
      </c>
      <c r="E11" s="1"/>
    </row>
    <row r="12" spans="1:5" ht="25.5" x14ac:dyDescent="0.25">
      <c r="A12" s="1"/>
      <c r="B12" s="65" t="s">
        <v>199</v>
      </c>
      <c r="C12" s="66">
        <v>4947</v>
      </c>
      <c r="D12" s="14" t="s">
        <v>3</v>
      </c>
      <c r="E12" s="1"/>
    </row>
    <row r="13" spans="1:5" x14ac:dyDescent="0.25">
      <c r="A13" s="1"/>
      <c r="B13" s="65" t="s">
        <v>200</v>
      </c>
      <c r="C13" s="66">
        <v>59886</v>
      </c>
      <c r="D13" s="14" t="s">
        <v>3</v>
      </c>
      <c r="E13" s="1"/>
    </row>
    <row r="14" spans="1:5" x14ac:dyDescent="0.25">
      <c r="A14" s="1"/>
      <c r="B14" s="65" t="s">
        <v>201</v>
      </c>
      <c r="C14" s="66">
        <v>805725</v>
      </c>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143</v>
      </c>
      <c r="C19" s="12">
        <f>SUM(C10:C18)</f>
        <v>8604350</v>
      </c>
      <c r="D19" s="13" t="s">
        <v>3</v>
      </c>
      <c r="E19" s="1"/>
    </row>
    <row r="20" spans="1:5" x14ac:dyDescent="0.25">
      <c r="A20" s="1"/>
      <c r="B20" s="52" t="s">
        <v>144</v>
      </c>
      <c r="C20" s="12">
        <f>C19*(1+'Fane 13. Nøgletal'!C11)^2</f>
        <v>9783108.8652515002</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9UxavAqoLZxd1FgwHgZtaUw6b9zfOnc0Oc1O2Asb9L8WnTdT9JFRiG/ZxL0w5LcXZXSt6BtguHXO4A7tKSrBIA==" saltValue="pSnLsUjurjquW/x5PE8rG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7" t="s">
        <v>172</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8"/>
      <c r="C6" s="68"/>
      <c r="D6" s="68"/>
      <c r="E6" s="1"/>
    </row>
    <row r="7" spans="1:5" x14ac:dyDescent="0.25">
      <c r="A7" s="1"/>
      <c r="B7" s="1"/>
      <c r="C7" s="1"/>
      <c r="D7" s="1"/>
      <c r="E7" s="1"/>
    </row>
    <row r="8" spans="1:5" x14ac:dyDescent="0.25">
      <c r="A8" s="1"/>
      <c r="B8" s="99" t="s">
        <v>175</v>
      </c>
      <c r="C8" s="100"/>
      <c r="D8" s="101"/>
      <c r="E8" s="1"/>
    </row>
    <row r="9" spans="1:5" x14ac:dyDescent="0.25">
      <c r="A9" s="1"/>
      <c r="B9" s="56" t="s">
        <v>176</v>
      </c>
      <c r="C9" s="9">
        <v>-2113733.2036761008</v>
      </c>
      <c r="D9" s="39" t="s">
        <v>3</v>
      </c>
      <c r="E9" s="1"/>
    </row>
    <row r="10" spans="1:5" x14ac:dyDescent="0.25">
      <c r="A10" s="1"/>
      <c r="B10" s="56" t="s">
        <v>174</v>
      </c>
      <c r="C10" s="9">
        <v>-1056868.7824154384</v>
      </c>
      <c r="D10" s="14" t="s">
        <v>3</v>
      </c>
      <c r="E10" s="1"/>
    </row>
    <row r="11" spans="1:5" x14ac:dyDescent="0.25">
      <c r="A11" s="1"/>
      <c r="B11" s="52"/>
      <c r="C11" s="53"/>
      <c r="D11" s="19"/>
      <c r="E11" s="1"/>
    </row>
    <row r="12" spans="1:5" ht="53.85" customHeight="1" x14ac:dyDescent="0.25">
      <c r="A12" s="1"/>
      <c r="B12" s="108" t="s">
        <v>173</v>
      </c>
      <c r="C12" s="109"/>
      <c r="D12" s="110"/>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-1056868.7824154384</v>
      </c>
      <c r="D15" s="14" t="s">
        <v>3</v>
      </c>
      <c r="E15" s="1"/>
    </row>
    <row r="16" spans="1:5" x14ac:dyDescent="0.25">
      <c r="A16" s="1"/>
      <c r="B16" s="56" t="s">
        <v>185</v>
      </c>
      <c r="C16" s="9">
        <f>IF(SUM(C9)&gt;0,SUM(C9),0)</f>
        <v>0</v>
      </c>
      <c r="D16" s="14" t="s">
        <v>3</v>
      </c>
      <c r="E16" s="1"/>
    </row>
    <row r="17" spans="1:5" ht="26.25" x14ac:dyDescent="0.25">
      <c r="A17" s="1"/>
      <c r="B17" s="72" t="s">
        <v>179</v>
      </c>
      <c r="C17" s="62">
        <f>IF(SUM(C15:C16)&gt;0,0,SUM(C15:C16))</f>
        <v>-1056868.7824154384</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17325406.327327125</v>
      </c>
      <c r="D21" s="14" t="s">
        <v>3</v>
      </c>
      <c r="E21" s="1"/>
    </row>
    <row r="22" spans="1:5" x14ac:dyDescent="0.25">
      <c r="A22" s="1"/>
      <c r="B22" s="56" t="s">
        <v>182</v>
      </c>
      <c r="C22" s="9">
        <v>17841501</v>
      </c>
      <c r="D22" s="14" t="s">
        <v>3</v>
      </c>
      <c r="E22" s="1"/>
    </row>
    <row r="23" spans="1:5" x14ac:dyDescent="0.25">
      <c r="A23" s="1"/>
      <c r="B23" s="56" t="s">
        <v>28</v>
      </c>
      <c r="C23" s="9">
        <v>0</v>
      </c>
      <c r="D23" s="14" t="s">
        <v>3</v>
      </c>
      <c r="E23" s="1"/>
    </row>
    <row r="24" spans="1:5" x14ac:dyDescent="0.25">
      <c r="A24" s="1"/>
      <c r="B24" s="74" t="s">
        <v>183</v>
      </c>
      <c r="C24" s="46">
        <f>C21-C22-C23</f>
        <v>-516094.67267287523</v>
      </c>
      <c r="D24" s="17" t="s">
        <v>3</v>
      </c>
      <c r="E24" s="1"/>
    </row>
    <row r="25" spans="1:5" x14ac:dyDescent="0.25">
      <c r="A25" s="1"/>
      <c r="B25" s="52"/>
      <c r="C25" s="53"/>
      <c r="D25" s="19"/>
      <c r="E25" s="1"/>
    </row>
    <row r="26" spans="1:5" x14ac:dyDescent="0.25">
      <c r="A26" s="1"/>
      <c r="B26" s="1"/>
      <c r="C26" s="1"/>
      <c r="D26" s="1"/>
      <c r="E26" s="1"/>
    </row>
    <row r="27" spans="1:5" x14ac:dyDescent="0.25">
      <c r="A27" s="1"/>
      <c r="B27" s="99" t="s">
        <v>184</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-1572963.4550883137</v>
      </c>
      <c r="D28" s="14" t="s">
        <v>3</v>
      </c>
      <c r="E28" s="1"/>
    </row>
    <row r="29" spans="1:5" x14ac:dyDescent="0.25">
      <c r="A29" s="1"/>
      <c r="B29" s="57" t="s">
        <v>48</v>
      </c>
      <c r="C29" s="9">
        <v>2</v>
      </c>
      <c r="D29" s="14" t="s">
        <v>18</v>
      </c>
      <c r="E29" s="1"/>
    </row>
    <row r="30" spans="1:5" x14ac:dyDescent="0.25">
      <c r="A30" s="1"/>
      <c r="B30" s="58" t="s">
        <v>64</v>
      </c>
      <c r="C30" s="10">
        <f>C28/C29</f>
        <v>-786481.72754415683</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qbC6/2rRHfavNYF7HCRtGBILhceNQrsqsmBJ96l3hRanlOyrhryK2wdlQ5nhW4VKzAxd5IZZbTJuVtAI7DdsEQ==" saltValue="7H/vN69kWBv54ITprkcRj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7" t="s">
        <v>96</v>
      </c>
      <c r="C3" s="97"/>
      <c r="D3" s="97"/>
      <c r="E3" s="1"/>
    </row>
    <row r="4" spans="1:5" ht="15" customHeight="1" x14ac:dyDescent="0.25">
      <c r="A4" s="1"/>
      <c r="B4" s="97"/>
      <c r="C4" s="97"/>
      <c r="D4" s="97"/>
      <c r="E4" s="1"/>
    </row>
    <row r="5" spans="1:5" x14ac:dyDescent="0.25">
      <c r="A5" s="1"/>
      <c r="B5" s="97"/>
      <c r="C5" s="97"/>
      <c r="D5" s="97"/>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123</v>
      </c>
      <c r="C9" s="115"/>
      <c r="D9" s="116"/>
      <c r="E9" s="1"/>
    </row>
    <row r="10" spans="1:5" x14ac:dyDescent="0.25">
      <c r="A10" s="1"/>
      <c r="B10" s="59" t="s">
        <v>98</v>
      </c>
      <c r="C10" s="41">
        <v>0</v>
      </c>
      <c r="D10" s="9" t="s">
        <v>3</v>
      </c>
      <c r="E10" s="1"/>
    </row>
    <row r="11" spans="1:5" x14ac:dyDescent="0.25">
      <c r="A11" s="1"/>
      <c r="B11" s="59" t="s">
        <v>99</v>
      </c>
      <c r="C11" s="41">
        <v>0</v>
      </c>
      <c r="D11" s="9" t="s">
        <v>3</v>
      </c>
      <c r="E11" s="1"/>
    </row>
    <row r="12" spans="1:5" x14ac:dyDescent="0.25">
      <c r="A12" s="1"/>
      <c r="B12" s="59" t="s">
        <v>100</v>
      </c>
      <c r="C12" s="9">
        <v>-2480833.3333333302</v>
      </c>
      <c r="D12" s="9" t="s">
        <v>3</v>
      </c>
      <c r="E12" s="1"/>
    </row>
    <row r="13" spans="1:5" x14ac:dyDescent="0.25">
      <c r="A13" s="1"/>
      <c r="B13" s="59" t="s">
        <v>101</v>
      </c>
      <c r="C13" s="9">
        <v>-2480833.3333333302</v>
      </c>
      <c r="D13" s="9" t="s">
        <v>3</v>
      </c>
      <c r="E13" s="1"/>
    </row>
    <row r="14" spans="1:5" x14ac:dyDescent="0.25">
      <c r="A14" s="1"/>
      <c r="B14" s="59" t="s">
        <v>102</v>
      </c>
      <c r="C14" s="9">
        <v>-2480833.3333333302</v>
      </c>
      <c r="D14" s="9" t="s">
        <v>3</v>
      </c>
      <c r="E14" s="1"/>
    </row>
    <row r="15" spans="1:5" x14ac:dyDescent="0.25">
      <c r="A15" s="1"/>
      <c r="B15" s="59" t="s">
        <v>103</v>
      </c>
      <c r="C15" s="9">
        <v>-2480833.3333333302</v>
      </c>
      <c r="D15" s="9" t="s">
        <v>3</v>
      </c>
      <c r="E15" s="1"/>
    </row>
    <row r="16" spans="1:5" x14ac:dyDescent="0.25">
      <c r="A16" s="1"/>
      <c r="B16" s="59" t="s">
        <v>104</v>
      </c>
      <c r="C16" s="9">
        <v>-2480833.3333333302</v>
      </c>
      <c r="D16" s="9" t="s">
        <v>3</v>
      </c>
      <c r="E16" s="1"/>
    </row>
    <row r="17" spans="1:5" x14ac:dyDescent="0.25">
      <c r="A17" s="1"/>
      <c r="B17" s="59" t="s">
        <v>105</v>
      </c>
      <c r="C17" s="9">
        <v>-2480833.3333333302</v>
      </c>
      <c r="D17" s="9" t="s">
        <v>3</v>
      </c>
      <c r="E17" s="1"/>
    </row>
    <row r="18" spans="1:5" x14ac:dyDescent="0.25">
      <c r="A18" s="1"/>
      <c r="B18" s="69" t="s">
        <v>106</v>
      </c>
      <c r="C18" s="12">
        <f>SUM(C10:C17)</f>
        <v>-14884999.999999981</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o4Jne/ICD3RoXZHFh1FmmUTUMbv2BQcb3pWnx+pwPr2ewLw5O1SSJ4ZmkfVKx3tNyHrd9/fMdIojy90ZlmB5g==" saltValue="XP+ulQoMs8ZW9tPnYTLdh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4vpUpkqBYsLoUwNaM/daIh1JbDgSSAXF7yZRl1SVyx9QpihEFmnsPTRcN01GdoCiBEojJO9kMabRNqSmJjuRLg==" saltValue="CCMN67sV7c2Ww0ZsoTvlY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0</v>
      </c>
      <c r="D11" s="14" t="s">
        <v>3</v>
      </c>
      <c r="E11" s="9">
        <v>678004</v>
      </c>
      <c r="F11" s="14" t="s">
        <v>3</v>
      </c>
      <c r="G11" s="1"/>
    </row>
    <row r="12" spans="1:7" x14ac:dyDescent="0.25">
      <c r="A12" s="1"/>
      <c r="B12" s="26" t="s">
        <v>203</v>
      </c>
      <c r="C12" s="21">
        <v>24114</v>
      </c>
      <c r="D12" s="14" t="s">
        <v>3</v>
      </c>
      <c r="E12" s="9">
        <v>57567</v>
      </c>
      <c r="F12" s="14" t="s">
        <v>3</v>
      </c>
      <c r="G12" s="1"/>
    </row>
    <row r="13" spans="1:7" x14ac:dyDescent="0.25">
      <c r="A13" s="1"/>
      <c r="B13" s="26" t="s">
        <v>204</v>
      </c>
      <c r="C13" s="21">
        <v>6557</v>
      </c>
      <c r="D13" s="14" t="s">
        <v>3</v>
      </c>
      <c r="E13" s="9">
        <v>8571</v>
      </c>
      <c r="F13" s="14" t="s">
        <v>3</v>
      </c>
      <c r="G13" s="1"/>
    </row>
    <row r="14" spans="1:7" x14ac:dyDescent="0.25">
      <c r="A14" s="1"/>
      <c r="B14" s="26" t="s">
        <v>205</v>
      </c>
      <c r="C14" s="21">
        <v>1311</v>
      </c>
      <c r="D14" s="14" t="s">
        <v>3</v>
      </c>
      <c r="E14" s="9">
        <v>2937</v>
      </c>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31982</v>
      </c>
      <c r="D17" s="13" t="s">
        <v>3</v>
      </c>
      <c r="E17" s="12">
        <f>SUM(E10:E16)</f>
        <v>747079</v>
      </c>
      <c r="F17" s="13" t="s">
        <v>3</v>
      </c>
      <c r="G17" s="1"/>
    </row>
    <row r="18" spans="1:7" x14ac:dyDescent="0.25">
      <c r="A18" s="1"/>
      <c r="B18" s="52" t="s">
        <v>147</v>
      </c>
      <c r="C18" s="12">
        <f>C17*(1+'Fane 13. Nøgletal'!C11)</f>
        <v>34102.406600000002</v>
      </c>
      <c r="D18" s="13" t="s">
        <v>3</v>
      </c>
      <c r="E18" s="12">
        <f>E17*(1+'Fane 13. Nøgletal'!C11)</f>
        <v>796610.33770000003</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7dAUGoMXeDT0FAXFaCaWdCB81FClP32t/eVer5RWGuJJ5Ayh2QSdcWyqIDkYEfFPjRkRZCAphRw0/It8VNlEVQ==" saltValue="vuj9uIdLROhAD3x3Yo49H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150</v>
      </c>
      <c r="C8" s="100"/>
      <c r="D8" s="100"/>
      <c r="E8" s="100"/>
      <c r="F8" s="101"/>
      <c r="G8" s="1"/>
    </row>
    <row r="9" spans="1:7" x14ac:dyDescent="0.25">
      <c r="A9" s="1"/>
      <c r="B9" s="72" t="s">
        <v>15</v>
      </c>
      <c r="C9" s="74" t="s">
        <v>10</v>
      </c>
      <c r="D9" s="75"/>
      <c r="E9" s="74" t="s">
        <v>26</v>
      </c>
      <c r="F9" s="27"/>
      <c r="G9" s="1"/>
    </row>
    <row r="10" spans="1:7" x14ac:dyDescent="0.25">
      <c r="A10" s="1"/>
      <c r="B10" s="23" t="s">
        <v>206</v>
      </c>
      <c r="C10" s="21">
        <v>0</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c1D2t10/iQ2wc3HpRQ3R5xEXGdOlxxIMs9BQtLJ1efVT7Wlgw+9FmJWQUrkS4jJiIokeP3H5u2/dQntGFvLvg==" saltValue="eKRyVUUe2zo2PRO6HqxNe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93</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4" t="s">
        <v>60</v>
      </c>
      <c r="C9" s="119" t="s">
        <v>10</v>
      </c>
      <c r="D9" s="120"/>
      <c r="E9" s="119" t="s">
        <v>26</v>
      </c>
      <c r="F9" s="120"/>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0chVrHZW87wBOXkxlToQ+GJQOvT+XBYXLMOh59GCiTwcKabGHVpN5K8l8abZ41P22UpaWNDH9YuseDUrOEpzbg==" saltValue="Bxupn8MT0vMy1bzTBT7kY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94</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152</v>
      </c>
      <c r="C8" s="100"/>
      <c r="D8" s="100"/>
      <c r="E8" s="100"/>
      <c r="F8" s="101"/>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w7vAAzBDybAnrtp/UajFY2XeraoQv1ermZaPuz7IIHngc0b2uC8l+AGkfY72sBvcUMZlxDxT8AbQfUd3QWmDA==" saltValue="ZVeUL41mgZhjPiPNFJhl/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7" t="s">
        <v>95</v>
      </c>
      <c r="C3" s="97"/>
      <c r="D3" s="1"/>
    </row>
    <row r="4" spans="1:4" ht="15" customHeight="1" x14ac:dyDescent="0.25">
      <c r="A4" s="1"/>
      <c r="B4" s="97"/>
      <c r="C4" s="97"/>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195</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194</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FNNCR0qekzPKCVHNsdx1vTcfl/q+ex0nmE+i1QB9dubtS5zXi30f/tjsUCPbOnHpPpB5k1+O0BOVngJnYbK3ZQ==" saltValue="xYw9WfieCc29LdX/85mbX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12247737.593641222</v>
      </c>
      <c r="D9" s="8" t="s">
        <v>3</v>
      </c>
      <c r="E9" s="1"/>
    </row>
    <row r="10" spans="1:5" ht="17.100000000000001" customHeight="1" x14ac:dyDescent="0.25">
      <c r="A10" s="1"/>
      <c r="B10" s="24" t="s">
        <v>32</v>
      </c>
      <c r="C10" s="7">
        <f>'Fane 10.1. Varige tillæg'!C18</f>
        <v>34102.406600000002</v>
      </c>
      <c r="D10" s="8" t="s">
        <v>3</v>
      </c>
      <c r="E10" s="1"/>
    </row>
    <row r="11" spans="1:5" ht="17.100000000000001" customHeight="1" x14ac:dyDescent="0.25">
      <c r="A11" s="1"/>
      <c r="B11" s="24" t="s">
        <v>33</v>
      </c>
      <c r="C11" s="9">
        <f>'Fane 10.1. Varige tillæg'!E18</f>
        <v>796610.33770000003</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867101.25740550295</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-125970.97519139927</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13819580.620155325</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9783108.8652515002</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-786481.72754415683</v>
      </c>
      <c r="D30" s="11" t="s">
        <v>3</v>
      </c>
      <c r="E30" s="1"/>
    </row>
    <row r="31" spans="1:5" x14ac:dyDescent="0.25">
      <c r="A31" s="1"/>
      <c r="B31" s="25" t="s">
        <v>70</v>
      </c>
      <c r="C31" s="53"/>
      <c r="D31" s="19"/>
      <c r="E31" s="1"/>
    </row>
    <row r="32" spans="1:5" x14ac:dyDescent="0.25">
      <c r="A32" s="1"/>
      <c r="B32" s="58" t="s">
        <v>71</v>
      </c>
      <c r="C32" s="10">
        <f>'Fane 8. Skattesagen'!C14</f>
        <v>-2480833.3333333302</v>
      </c>
      <c r="D32" s="11" t="s">
        <v>3</v>
      </c>
      <c r="E32" s="1"/>
    </row>
    <row r="33" spans="1:5" x14ac:dyDescent="0.25">
      <c r="A33" s="1"/>
      <c r="B33" s="52" t="s">
        <v>69</v>
      </c>
      <c r="C33" s="29">
        <f>SUM(C20,C22,C28,C30,C32)</f>
        <v>20335374.424529336</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tisAD7eGyCsJSDCysUaDc125PtPGhV2jWoAjl+J3OC/DH0rOoPkQJAdGXTv1wBEcHQSxJpFgJyuR9JOgRUnQ==" saltValue="RQ98TpidZKlaAx6oKdL7i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129</v>
      </c>
      <c r="C3" s="95"/>
      <c r="D3" s="95"/>
      <c r="E3" s="1"/>
    </row>
    <row r="4" spans="1:5" ht="15" customHeight="1" x14ac:dyDescent="0.25">
      <c r="A4" s="1"/>
      <c r="B4" s="95"/>
      <c r="C4" s="95"/>
      <c r="D4" s="95"/>
      <c r="E4" s="1"/>
    </row>
    <row r="5" spans="1:5" x14ac:dyDescent="0.25">
      <c r="A5" s="1"/>
      <c r="B5" s="96"/>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13819580.620155325</v>
      </c>
      <c r="D9" s="8" t="s">
        <v>3</v>
      </c>
      <c r="E9" s="1"/>
    </row>
    <row r="10" spans="1:5" ht="15" customHeight="1" x14ac:dyDescent="0.25">
      <c r="A10" s="1"/>
      <c r="B10" s="47" t="s">
        <v>17</v>
      </c>
      <c r="C10" s="41">
        <f>C9*'Fane 13. Nøgletal'!C11</f>
        <v>916238.19511629804</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-131636.39382965726</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14604182.421441967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10431728.983017676</v>
      </c>
      <c r="D16" s="11" t="s">
        <v>3</v>
      </c>
      <c r="E16" s="1"/>
    </row>
    <row r="17" spans="1:5" x14ac:dyDescent="0.25">
      <c r="A17" s="1"/>
      <c r="B17" s="25" t="s">
        <v>65</v>
      </c>
      <c r="C17" s="53"/>
      <c r="D17" s="19"/>
      <c r="E17" s="1"/>
    </row>
    <row r="18" spans="1:5" ht="15" customHeight="1" x14ac:dyDescent="0.25">
      <c r="A18" s="1"/>
      <c r="B18" s="45" t="s">
        <v>66</v>
      </c>
      <c r="C18" s="10">
        <f>'Fane 7. Kontrol af ØR2023'!C30</f>
        <v>-786481.72754415683</v>
      </c>
      <c r="D18" s="11" t="s">
        <v>3</v>
      </c>
      <c r="E18" s="1"/>
    </row>
    <row r="19" spans="1:5" x14ac:dyDescent="0.25">
      <c r="A19" s="1"/>
      <c r="B19" s="25" t="s">
        <v>70</v>
      </c>
      <c r="C19" s="53"/>
      <c r="D19" s="19"/>
      <c r="E19" s="1"/>
    </row>
    <row r="20" spans="1:5" x14ac:dyDescent="0.25">
      <c r="A20" s="1"/>
      <c r="B20" s="58" t="s">
        <v>71</v>
      </c>
      <c r="C20" s="10">
        <f>'Fane 8. Skattesagen'!C15</f>
        <v>-2480833.3333333302</v>
      </c>
      <c r="D20" s="11" t="s">
        <v>3</v>
      </c>
      <c r="E20" s="1"/>
    </row>
    <row r="21" spans="1:5" x14ac:dyDescent="0.25">
      <c r="A21" s="1"/>
      <c r="B21" s="52" t="s">
        <v>73</v>
      </c>
      <c r="C21" s="12">
        <f>SUM(C14,C16,C18,C20)</f>
        <v>21768596.343582153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ovyzIF0cQ++uwQfGllLsnkGNRFpW2qeaL2QN7lLErQGLbIYNQF4myjcG/oHAcl5fVtI7eB+OZ6ctNAdV70wWQ==" saltValue="/zg+ICroR3YReeCaBRHx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14604182.421441967</v>
      </c>
      <c r="D9" s="8" t="s">
        <v>3</v>
      </c>
      <c r="E9" s="1"/>
    </row>
    <row r="10" spans="1:5" ht="15" customHeight="1" x14ac:dyDescent="0.25">
      <c r="A10" s="1"/>
      <c r="B10" s="47" t="s">
        <v>17</v>
      </c>
      <c r="C10" s="41">
        <f>C9*'Fane 13. Nøgletal'!C11</f>
        <v>968257.29454160237</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-137556.60900575225</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15434883.106977817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11123352.614591746</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-2480833.3333333302</v>
      </c>
      <c r="D20" s="11" t="s">
        <v>3</v>
      </c>
      <c r="E20" s="1"/>
    </row>
    <row r="21" spans="1:5" x14ac:dyDescent="0.25">
      <c r="A21" s="1"/>
      <c r="B21" s="52" t="s">
        <v>109</v>
      </c>
      <c r="C21" s="12">
        <f>SUM(C14,C16,C18,C20)</f>
        <v>24077402.388236232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yPnv8RNBxqeC8HMwpNkzb4UiLb1dayznoSFWvFgPyP3L0C36lo9G6B2chOSuVlAayfXDe0XQtFN/+vV0jdL+w==" saltValue="VzmHMSuuWUX4Cz8g8nLaq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131</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15434883.106977817</v>
      </c>
      <c r="D9" s="8" t="s">
        <v>3</v>
      </c>
      <c r="E9" s="1"/>
    </row>
    <row r="10" spans="1:5" ht="15" customHeight="1" x14ac:dyDescent="0.25">
      <c r="A10" s="1"/>
      <c r="B10" s="47" t="s">
        <v>17</v>
      </c>
      <c r="C10" s="9">
        <f>C9*'Fane 13. Nøgletal'!C11</f>
        <v>1023332.7499926292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-143743.079939177</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16314472.777031269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11860830.89293918</v>
      </c>
      <c r="D16" s="11" t="s">
        <v>3</v>
      </c>
      <c r="E16" s="1"/>
    </row>
    <row r="17" spans="1:5" x14ac:dyDescent="0.25">
      <c r="A17" s="1"/>
      <c r="B17" s="25" t="s">
        <v>70</v>
      </c>
      <c r="C17" s="53"/>
      <c r="D17" s="19"/>
      <c r="E17" s="1"/>
    </row>
    <row r="18" spans="1:5" x14ac:dyDescent="0.25">
      <c r="A18" s="1"/>
      <c r="B18" s="58" t="s">
        <v>71</v>
      </c>
      <c r="C18" s="10">
        <f>'Fane 8. Skattesagen'!C17</f>
        <v>-2480833.3333333302</v>
      </c>
      <c r="D18" s="11" t="s">
        <v>3</v>
      </c>
      <c r="E18" s="1"/>
    </row>
    <row r="19" spans="1:5" x14ac:dyDescent="0.25">
      <c r="A19" s="1"/>
      <c r="B19" s="52" t="s">
        <v>133</v>
      </c>
      <c r="C19" s="12">
        <f>SUM(C14,C16,C18)</f>
        <v>25694470.336637117</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pJGfMnu+r9zAbGit2wTCMRsrRBXua7B6eV7ZZ659MF0/awaXnVlWFlVfWSLwM2ytS77RBza4ZB++lnMnD2c7Q==" saltValue="NA0dHpf3gPoqN8xV76Qi7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7" t="s">
        <v>134</v>
      </c>
      <c r="C3" s="97"/>
      <c r="D3" s="97"/>
      <c r="E3" s="1"/>
    </row>
    <row r="4" spans="1:5" ht="15" customHeight="1" x14ac:dyDescent="0.25">
      <c r="A4" s="1"/>
      <c r="B4" s="97"/>
      <c r="C4" s="97"/>
      <c r="D4" s="97"/>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11521394.526286827</v>
      </c>
      <c r="D9" s="8" t="s">
        <v>3</v>
      </c>
      <c r="E9" s="1"/>
    </row>
    <row r="10" spans="1:5" x14ac:dyDescent="0.25">
      <c r="A10" s="1"/>
      <c r="B10" s="24" t="s">
        <v>32</v>
      </c>
      <c r="C10" s="7">
        <v>126624.55013599999</v>
      </c>
      <c r="D10" s="8" t="s">
        <v>3</v>
      </c>
      <c r="E10" s="1"/>
    </row>
    <row r="11" spans="1:5" ht="15" customHeight="1" x14ac:dyDescent="0.25">
      <c r="A11" s="1"/>
      <c r="B11" s="24" t="s">
        <v>33</v>
      </c>
      <c r="C11" s="9">
        <v>276812.57217599999</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442759.36461862066</v>
      </c>
      <c r="D16" s="8" t="s">
        <v>3</v>
      </c>
      <c r="E16" s="1"/>
    </row>
    <row r="17" spans="1:5" x14ac:dyDescent="0.25">
      <c r="A17" s="1"/>
      <c r="B17" s="24" t="s">
        <v>9</v>
      </c>
      <c r="C17" s="9">
        <v>0</v>
      </c>
      <c r="D17" s="8" t="s">
        <v>3</v>
      </c>
      <c r="E17" s="1"/>
    </row>
    <row r="18" spans="1:5" x14ac:dyDescent="0.25">
      <c r="A18" s="1"/>
      <c r="B18" s="24" t="s">
        <v>21</v>
      </c>
      <c r="C18" s="9">
        <v>-119853.41957622646</v>
      </c>
      <c r="D18" s="8" t="s">
        <v>3</v>
      </c>
      <c r="E18" s="1"/>
    </row>
    <row r="19" spans="1:5" x14ac:dyDescent="0.25">
      <c r="A19" s="1"/>
      <c r="B19" s="24" t="s">
        <v>22</v>
      </c>
      <c r="C19" s="9">
        <v>0</v>
      </c>
      <c r="D19" s="8" t="s">
        <v>3</v>
      </c>
      <c r="E19" s="1"/>
    </row>
    <row r="20" spans="1:5" x14ac:dyDescent="0.25">
      <c r="A20" s="1"/>
      <c r="B20" s="74" t="s">
        <v>19</v>
      </c>
      <c r="C20" s="10">
        <v>12247737.593641222</v>
      </c>
      <c r="D20" s="11" t="s">
        <v>3</v>
      </c>
      <c r="E20" s="1"/>
    </row>
    <row r="21" spans="1:5" x14ac:dyDescent="0.25">
      <c r="A21" s="1"/>
      <c r="B21" s="52" t="s">
        <v>11</v>
      </c>
      <c r="C21" s="53"/>
      <c r="D21" s="19"/>
      <c r="E21" s="1"/>
    </row>
    <row r="22" spans="1:5" x14ac:dyDescent="0.25">
      <c r="A22" s="1"/>
      <c r="B22" s="54" t="s">
        <v>11</v>
      </c>
      <c r="C22" s="10">
        <v>10222951.385064319</v>
      </c>
      <c r="D22" s="11" t="s">
        <v>3</v>
      </c>
      <c r="E22" s="1"/>
    </row>
    <row r="23" spans="1:5" x14ac:dyDescent="0.25">
      <c r="A23" s="1"/>
      <c r="B23" s="52" t="s">
        <v>39</v>
      </c>
      <c r="C23" s="53"/>
      <c r="D23" s="19"/>
      <c r="E23" s="1"/>
    </row>
    <row r="24" spans="1:5" ht="15" customHeight="1" x14ac:dyDescent="0.25">
      <c r="A24" s="1"/>
      <c r="B24" s="24" t="s">
        <v>35</v>
      </c>
      <c r="C24" s="9">
        <v>36932.723210880002</v>
      </c>
      <c r="D24" s="8" t="s">
        <v>3</v>
      </c>
      <c r="E24" s="1"/>
    </row>
    <row r="25" spans="1:5" ht="14.25" customHeight="1" x14ac:dyDescent="0.25">
      <c r="A25" s="1"/>
      <c r="B25" s="24" t="s">
        <v>36</v>
      </c>
      <c r="C25" s="9">
        <v>0</v>
      </c>
      <c r="D25" s="8" t="s">
        <v>3</v>
      </c>
      <c r="E25" s="1"/>
    </row>
    <row r="26" spans="1:5" ht="14.25" customHeight="1" x14ac:dyDescent="0.25">
      <c r="A26" s="1"/>
      <c r="B26" s="24" t="s">
        <v>79</v>
      </c>
      <c r="C26" s="9">
        <v>-738.65446421760009</v>
      </c>
      <c r="D26" s="8" t="s">
        <v>3</v>
      </c>
      <c r="E26" s="1"/>
    </row>
    <row r="27" spans="1:5" ht="14.25" customHeight="1" x14ac:dyDescent="0.25">
      <c r="A27" s="1"/>
      <c r="B27" s="24" t="s">
        <v>80</v>
      </c>
      <c r="C27" s="9">
        <v>0</v>
      </c>
      <c r="D27" s="8" t="s">
        <v>3</v>
      </c>
      <c r="E27" s="1"/>
    </row>
    <row r="28" spans="1:5" ht="14.25" customHeight="1" x14ac:dyDescent="0.25">
      <c r="A28" s="1"/>
      <c r="B28" s="74" t="s">
        <v>40</v>
      </c>
      <c r="C28" s="64">
        <v>36194.0687466624</v>
      </c>
      <c r="D28" s="11" t="s">
        <v>3</v>
      </c>
      <c r="E28" s="1"/>
    </row>
    <row r="29" spans="1:5" x14ac:dyDescent="0.25">
      <c r="A29" s="1"/>
      <c r="B29" s="25" t="s">
        <v>65</v>
      </c>
      <c r="C29" s="53"/>
      <c r="D29" s="19"/>
      <c r="E29" s="1"/>
    </row>
    <row r="30" spans="1:5" x14ac:dyDescent="0.25">
      <c r="A30" s="1"/>
      <c r="B30" s="58" t="s">
        <v>66</v>
      </c>
      <c r="C30" s="10">
        <v>-1366265</v>
      </c>
      <c r="D30" s="11" t="s">
        <v>3</v>
      </c>
      <c r="E30" s="1"/>
    </row>
    <row r="31" spans="1:5" ht="15" customHeight="1" x14ac:dyDescent="0.25">
      <c r="A31" s="1"/>
      <c r="B31" s="25" t="s">
        <v>70</v>
      </c>
      <c r="C31" s="53"/>
      <c r="D31" s="19"/>
      <c r="E31" s="1"/>
    </row>
    <row r="32" spans="1:5" ht="15.6" customHeight="1" x14ac:dyDescent="0.25">
      <c r="A32" s="1"/>
      <c r="B32" s="58" t="s">
        <v>71</v>
      </c>
      <c r="C32" s="10">
        <v>-2480833.3333333302</v>
      </c>
      <c r="D32" s="11" t="s">
        <v>3</v>
      </c>
      <c r="E32" s="1"/>
    </row>
    <row r="33" spans="1:5" ht="15.6" customHeight="1" x14ac:dyDescent="0.25">
      <c r="A33" s="1"/>
      <c r="B33" s="52" t="s">
        <v>67</v>
      </c>
      <c r="C33" s="29">
        <v>18659784.714118876</v>
      </c>
      <c r="D33" s="19" t="s">
        <v>3</v>
      </c>
      <c r="E33" s="1"/>
    </row>
    <row r="34" spans="1:5" ht="30" customHeight="1" x14ac:dyDescent="0.25">
      <c r="A34" s="1"/>
      <c r="B34" s="98" t="s">
        <v>193</v>
      </c>
      <c r="C34" s="98"/>
      <c r="D34" s="98"/>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QT/dOLePNm4xMNVYreaoEoIN7CkLnfW2hFReXh9PbSnWCZdEcuSr36Bo1/IrFm4y63d7ELnS8mwJmRv2P2teeg==" saltValue="NhIWKs9fi/zOVTckDodIV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7" t="s">
        <v>53</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8"/>
      <c r="C6" s="68"/>
      <c r="D6" s="68"/>
      <c r="E6" s="1"/>
    </row>
    <row r="7" spans="1:5" x14ac:dyDescent="0.25">
      <c r="A7" s="1"/>
      <c r="B7" s="1"/>
      <c r="C7" s="32"/>
      <c r="D7" s="1"/>
      <c r="E7" s="1"/>
    </row>
    <row r="8" spans="1:5" x14ac:dyDescent="0.25">
      <c r="A8" s="1"/>
      <c r="B8" s="99" t="s">
        <v>75</v>
      </c>
      <c r="C8" s="100"/>
      <c r="D8" s="101"/>
      <c r="E8" s="1"/>
    </row>
    <row r="9" spans="1:5" x14ac:dyDescent="0.25">
      <c r="A9" s="1"/>
      <c r="B9" s="56" t="s">
        <v>167</v>
      </c>
      <c r="C9" s="22">
        <v>5855815.1650243336</v>
      </c>
      <c r="D9" s="14" t="s">
        <v>3</v>
      </c>
      <c r="E9" s="1"/>
    </row>
    <row r="10" spans="1:5" x14ac:dyDescent="0.25">
      <c r="A10" s="1"/>
      <c r="B10" s="56" t="s">
        <v>110</v>
      </c>
      <c r="C10" s="22">
        <f>('Fane 3. Omkostninger i ØR2024'!C10+'Fane 3. Omkostninger i ØR2024'!C12+'Fane 3. Omkostninger i ØR2024'!C14)*(1+'Fane 13. Nøgletal'!C10)</f>
        <v>136855.81378698879</v>
      </c>
      <c r="D10" s="14" t="s">
        <v>3</v>
      </c>
      <c r="E10" s="1"/>
    </row>
    <row r="11" spans="1:5" x14ac:dyDescent="0.25">
      <c r="A11" s="1"/>
      <c r="B11" s="56" t="s">
        <v>81</v>
      </c>
      <c r="C11" s="22">
        <f>C9*'Fane 13. Nøgletal'!C23+C10*'Fane 13. Nøgletal'!C23</f>
        <v>119853.41957622644</v>
      </c>
      <c r="D11" s="14" t="s">
        <v>3</v>
      </c>
      <c r="E11" s="1"/>
    </row>
    <row r="12" spans="1:5" x14ac:dyDescent="0.25">
      <c r="A12" s="1"/>
      <c r="B12" s="52"/>
      <c r="C12" s="31"/>
      <c r="D12" s="19"/>
      <c r="E12" s="1"/>
    </row>
    <row r="13" spans="1:5" x14ac:dyDescent="0.25">
      <c r="A13" s="1"/>
      <c r="B13" s="1"/>
      <c r="C13" s="32"/>
      <c r="D13" s="1"/>
      <c r="E13" s="1"/>
    </row>
    <row r="14" spans="1:5" x14ac:dyDescent="0.25">
      <c r="A14" s="1"/>
      <c r="B14" s="99" t="s">
        <v>153</v>
      </c>
      <c r="C14" s="100"/>
      <c r="D14" s="101"/>
      <c r="E14" s="1"/>
    </row>
    <row r="15" spans="1:5" x14ac:dyDescent="0.25">
      <c r="A15" s="1"/>
      <c r="B15" s="56" t="s">
        <v>168</v>
      </c>
      <c r="C15" s="22">
        <f>(C9+C10-C11)*(1+'Fane 13. Nøgletal'!C11)</f>
        <v>6262185.363412383</v>
      </c>
      <c r="D15" s="14" t="s">
        <v>3</v>
      </c>
      <c r="E15" s="1"/>
    </row>
    <row r="16" spans="1:5" x14ac:dyDescent="0.25">
      <c r="A16" s="1"/>
      <c r="B16" s="56" t="s">
        <v>154</v>
      </c>
      <c r="C16" s="22">
        <f>('Fane 2.1. Økonomisk ramme 2025'!C10+'Fane 2.1. Økonomisk ramme 2025'!C12+'Fane 2.1. Økonomisk ramme 2025'!C14)*(1+'Fane 13. Nøgletal'!C11)</f>
        <v>36363.396157580006</v>
      </c>
      <c r="D16" s="14" t="s">
        <v>3</v>
      </c>
      <c r="E16" s="1"/>
    </row>
    <row r="17" spans="1:5" x14ac:dyDescent="0.25">
      <c r="A17" s="1"/>
      <c r="B17" s="56" t="s">
        <v>155</v>
      </c>
      <c r="C17" s="22">
        <f>(C15+C16)*'Fane 13. Nøgletal'!C23</f>
        <v>125970.97519139927</v>
      </c>
      <c r="D17" s="14" t="s">
        <v>3</v>
      </c>
      <c r="E17" s="1"/>
    </row>
    <row r="18" spans="1:5" x14ac:dyDescent="0.25">
      <c r="A18" s="1"/>
      <c r="B18" s="52"/>
      <c r="C18" s="31"/>
      <c r="D18" s="19"/>
      <c r="E18" s="1"/>
    </row>
    <row r="19" spans="1:5" x14ac:dyDescent="0.25">
      <c r="A19" s="1"/>
      <c r="B19" s="1"/>
      <c r="C19" s="32"/>
      <c r="D19" s="1"/>
      <c r="E19" s="1"/>
    </row>
    <row r="20" spans="1:5" x14ac:dyDescent="0.25">
      <c r="A20" s="1"/>
      <c r="B20" s="99" t="s">
        <v>170</v>
      </c>
      <c r="C20" s="100"/>
      <c r="D20" s="101"/>
      <c r="E20" s="1"/>
    </row>
    <row r="21" spans="1:5" x14ac:dyDescent="0.25">
      <c r="A21" s="1"/>
      <c r="B21" s="56" t="s">
        <v>169</v>
      </c>
      <c r="C21" s="48">
        <f>(C15+C16-C17)*(1+'Fane 13. Nøgletal'!C11)</f>
        <v>6581819.6914828634</v>
      </c>
      <c r="D21" s="14" t="s">
        <v>3</v>
      </c>
      <c r="E21" s="1"/>
    </row>
    <row r="22" spans="1:5" x14ac:dyDescent="0.25">
      <c r="A22" s="1"/>
      <c r="B22" s="56" t="s">
        <v>171</v>
      </c>
      <c r="C22" s="48">
        <f>(C21)*'Fane 13. Nøgletal'!C23</f>
        <v>131636.39382965726</v>
      </c>
      <c r="D22" s="14" t="s">
        <v>3</v>
      </c>
      <c r="E22" s="1"/>
    </row>
    <row r="23" spans="1:5" x14ac:dyDescent="0.25">
      <c r="A23" s="1"/>
      <c r="B23" s="52"/>
      <c r="C23" s="31"/>
      <c r="D23" s="19"/>
      <c r="E23" s="1"/>
    </row>
    <row r="24" spans="1:5" x14ac:dyDescent="0.25">
      <c r="A24" s="1"/>
      <c r="B24" s="1"/>
      <c r="C24" s="32"/>
      <c r="D24" s="1"/>
      <c r="E24" s="1"/>
    </row>
    <row r="25" spans="1:5" x14ac:dyDescent="0.25">
      <c r="A25" s="1"/>
      <c r="B25" s="99" t="s">
        <v>116</v>
      </c>
      <c r="C25" s="100"/>
      <c r="D25" s="101"/>
      <c r="E25" s="1"/>
    </row>
    <row r="26" spans="1:5" x14ac:dyDescent="0.25">
      <c r="A26" s="1"/>
      <c r="B26" s="56" t="s">
        <v>117</v>
      </c>
      <c r="C26" s="48">
        <f>(C21-C22)*(1+'Fane 13. Nøgletal'!C11)</f>
        <v>6877830.4502876131</v>
      </c>
      <c r="D26" s="14" t="s">
        <v>3</v>
      </c>
      <c r="E26" s="1"/>
    </row>
    <row r="27" spans="1:5" x14ac:dyDescent="0.25">
      <c r="A27" s="1"/>
      <c r="B27" s="56" t="s">
        <v>118</v>
      </c>
      <c r="C27" s="48">
        <f>(C26)*'Fane 13. Nøgletal'!C23</f>
        <v>137556.60900575225</v>
      </c>
      <c r="D27" s="14" t="s">
        <v>3</v>
      </c>
      <c r="E27" s="1"/>
    </row>
    <row r="28" spans="1:5" x14ac:dyDescent="0.25">
      <c r="A28" s="1"/>
      <c r="B28" s="52"/>
      <c r="C28" s="42"/>
      <c r="D28" s="19"/>
      <c r="E28" s="1"/>
    </row>
    <row r="29" spans="1:5" x14ac:dyDescent="0.25">
      <c r="A29" s="1"/>
      <c r="B29" s="1"/>
      <c r="C29" s="32"/>
      <c r="D29" s="1"/>
      <c r="E29" s="1"/>
    </row>
    <row r="30" spans="1:5" x14ac:dyDescent="0.25">
      <c r="A30" s="1"/>
      <c r="B30" s="99" t="s">
        <v>136</v>
      </c>
      <c r="C30" s="100"/>
      <c r="D30" s="101"/>
      <c r="E30" s="1"/>
    </row>
    <row r="31" spans="1:5" x14ac:dyDescent="0.25">
      <c r="A31" s="1"/>
      <c r="B31" s="56" t="s">
        <v>137</v>
      </c>
      <c r="C31" s="48">
        <f>(C26-C27)*(1+'Fane 13. Nøgletal'!C11)</f>
        <v>7187153.996958849</v>
      </c>
      <c r="D31" s="14" t="s">
        <v>3</v>
      </c>
      <c r="E31" s="1"/>
    </row>
    <row r="32" spans="1:5" x14ac:dyDescent="0.25">
      <c r="A32" s="1"/>
      <c r="B32" s="56" t="s">
        <v>138</v>
      </c>
      <c r="C32" s="48">
        <f>(C31)*'Fane 13. Nøgletal'!C23</f>
        <v>143743.079939177</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H1FyeT8mKN3tfPzOiz1rX4oJQYFfz9jOfpp3shEGuwDDMSdHI5EYpiEr6DuS4q/GRDqs3vGxyvpQ/dq4j3EPkg==" saltValue="LZ+2+Ztmy9KwqHg/89uqd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162</v>
      </c>
      <c r="C9" s="48">
        <v>6765401.1081834007</v>
      </c>
      <c r="D9" s="14" t="s">
        <v>3</v>
      </c>
      <c r="E9" s="1"/>
    </row>
    <row r="10" spans="1:5" x14ac:dyDescent="0.25">
      <c r="A10" s="1"/>
      <c r="B10" s="56" t="s">
        <v>113</v>
      </c>
      <c r="C10" s="48">
        <f>('Fane 3. Omkostninger i ØR2024'!C11+'Fane 3. Omkostninger i ØR2024'!C13+'Fane 3. Omkostninger i ØR2024'!C15)*(1+'Fane 13. Nøgletal'!C10)</f>
        <v>299179.02800782077</v>
      </c>
      <c r="D10" s="14" t="s">
        <v>3</v>
      </c>
      <c r="E10" s="1"/>
    </row>
    <row r="11" spans="1:5" x14ac:dyDescent="0.25">
      <c r="A11" s="1"/>
      <c r="B11" s="56" t="s">
        <v>114</v>
      </c>
      <c r="C11" s="7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9" t="s">
        <v>156</v>
      </c>
      <c r="C14" s="100"/>
      <c r="D14" s="101"/>
      <c r="E14" s="1"/>
    </row>
    <row r="15" spans="1:5" x14ac:dyDescent="0.25">
      <c r="A15" s="1"/>
      <c r="B15" s="56" t="s">
        <v>163</v>
      </c>
      <c r="C15" s="48">
        <f>(C9+C10-C11)*(1+'Fane 13. Nøgletal'!C11)</f>
        <v>7532961.7992206998</v>
      </c>
      <c r="D15" s="14" t="s">
        <v>3</v>
      </c>
      <c r="E15" s="1"/>
    </row>
    <row r="16" spans="1:5" x14ac:dyDescent="0.25">
      <c r="A16" s="1"/>
      <c r="B16" s="56" t="s">
        <v>157</v>
      </c>
      <c r="C16" s="48">
        <f>('Fane 2.1. Økonomisk ramme 2025'!C11+'Fane 2.1. Økonomisk ramme 2025'!C13+'Fane 2.1. Økonomisk ramme 2025'!C15)*(1+'Fane 13. Nøgletal'!C11)</f>
        <v>849425.60308951</v>
      </c>
      <c r="D16" s="14" t="s">
        <v>3</v>
      </c>
      <c r="E16" s="1"/>
    </row>
    <row r="17" spans="1:5" x14ac:dyDescent="0.25">
      <c r="A17" s="1"/>
      <c r="B17" s="56" t="s">
        <v>158</v>
      </c>
      <c r="C17" s="7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9" t="s">
        <v>166</v>
      </c>
      <c r="C20" s="100"/>
      <c r="D20" s="101"/>
      <c r="E20" s="1"/>
    </row>
    <row r="21" spans="1:5" x14ac:dyDescent="0.25">
      <c r="A21" s="1"/>
      <c r="B21" s="56" t="s">
        <v>164</v>
      </c>
      <c r="C21" s="48">
        <f>(C15+C16-C17)*(1+'Fane 13. Nøgletal'!C11)</f>
        <v>8938139.6870833766</v>
      </c>
      <c r="D21" s="14" t="s">
        <v>3</v>
      </c>
      <c r="E21" s="1"/>
    </row>
    <row r="22" spans="1:5" x14ac:dyDescent="0.25">
      <c r="A22" s="1"/>
      <c r="B22" s="56" t="s">
        <v>165</v>
      </c>
      <c r="C22" s="7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9" t="s">
        <v>119</v>
      </c>
      <c r="C25" s="100"/>
      <c r="D25" s="101"/>
      <c r="E25" s="1"/>
    </row>
    <row r="26" spans="1:5" x14ac:dyDescent="0.25">
      <c r="A26" s="1"/>
      <c r="B26" s="56" t="s">
        <v>120</v>
      </c>
      <c r="C26" s="48">
        <f>(C21-C22)*(1+'Fane 13. Nøgletal'!C11)</f>
        <v>9530738.348337004</v>
      </c>
      <c r="D26" s="14" t="s">
        <v>3</v>
      </c>
      <c r="E26" s="1"/>
    </row>
    <row r="27" spans="1:5" x14ac:dyDescent="0.25">
      <c r="A27" s="1"/>
      <c r="B27" s="56" t="s">
        <v>121</v>
      </c>
      <c r="C27" s="7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9" t="s">
        <v>139</v>
      </c>
      <c r="C30" s="100"/>
      <c r="D30" s="101"/>
      <c r="E30" s="1"/>
    </row>
    <row r="31" spans="1:5" x14ac:dyDescent="0.25">
      <c r="A31" s="1"/>
      <c r="B31" s="56" t="s">
        <v>140</v>
      </c>
      <c r="C31" s="48">
        <f>(C26-C27)*(1+'Fane 13. Nøgletal'!C11)</f>
        <v>10162626.300831748</v>
      </c>
      <c r="D31" s="14" t="s">
        <v>3</v>
      </c>
      <c r="E31" s="1"/>
    </row>
    <row r="32" spans="1:5" x14ac:dyDescent="0.25">
      <c r="A32" s="1"/>
      <c r="B32" s="56" t="s">
        <v>141</v>
      </c>
      <c r="C32" s="7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ZQTdXZjoquGjy2pmowCULuQyWc1zvshuPv0ufFi36wc/qYWPkswpig5GPUv984Kf+gBEIu9pgzLwqzaS8aU3Q==" saltValue="kY0+dl3+THuhL+DEiVQ8j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160</v>
      </c>
      <c r="C9" s="44">
        <v>0</v>
      </c>
      <c r="D9" s="1"/>
    </row>
    <row r="10" spans="1:4" x14ac:dyDescent="0.25">
      <c r="A10" s="1"/>
      <c r="B10" s="52"/>
      <c r="C10" s="19"/>
      <c r="D10" s="1"/>
    </row>
    <row r="11" spans="1:4" ht="15" customHeight="1" x14ac:dyDescent="0.25">
      <c r="A11" s="1"/>
      <c r="B11" s="104" t="s">
        <v>161</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GBCyf4TzcjSoJJVJ1FgUzSIr3TwuT0MXj7EL8ZNW9xtu4zfteQLj4/GZFb/xXWolBj5UtRT6LVbSlNMF2dacaw==" saltValue="AmOcEQsB0CtwlbTlg21xH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2024-09-03T13:31:45Z</dcterms:modified>
</cp:coreProperties>
</file>