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Roskilde AS (S08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<sst xmlns="http://schemas.openxmlformats.org/spreadsheetml/2006/main" count="609" uniqueCount="290">
  <si>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</si>
  <si>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</si>
  <si>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</si>
  <si>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</si>
  <si>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</si>
  <si>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</si>
  <si>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</si>
  <si>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</si>
  <si>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</si>
  <si>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</si>
  <si>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</si>
  <si>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</si>
  <si>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</si>
  <si>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</si>
  <si>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</si>
  <si>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</si>
  <si>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</si>
  <si>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</si>
  <si>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</si>
  <si>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</si>
  <si>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</si>
  <si>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</si>
  <si>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</si>
  <si>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</si>
  <si>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</si>
  <si>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</si>
  <si>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</si>
  <si>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</si>
  <si>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</si>
  <si>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</si>
  <si>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</si>
  <si>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</si>
  <si>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</si>
  <si>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</si>
  <si>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</si>
  <si>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</si>
  <si>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</si>
  <si>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</si>
  <si>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</si>
  <si>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</si>
  <si>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</si>
  <si>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</si>
  <si>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</si>
  <si>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</si>
  <si>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</si>
  <si>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</si>
  <si>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</si>
  <si>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</si>
  <si>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</si>
  <si>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</si>
  <si>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</si>
  <si>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</si>
  <si>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</si>
  <si>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</si>
  <si>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</si>
  <si>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</si>
  <si>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</si>
  <si>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</si>
  <si>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</si>
  <si>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</si>
  <si>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</si>
  <si>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</si>
  <si>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</si>
  <si>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</si>
  <si>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</si>
  <si>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</si>
  <si>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</si>
  <si>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</si>
  <si>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</si>
  <si>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</si>
  <si>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</si>
  <si>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</si>
  <si>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</si>
  <si>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</si>
  <si>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</si>
  <si>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</si>
  <si>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</si>
  <si>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</si>
  <si>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</si>
  <si>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</si>
  <si>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</si>
  <si>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</si>
  <si>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</si>
  <si>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</si>
  <si>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</si>
  <si>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</si>
  <si>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</si>
  <si>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</si>
  <si>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</si>
  <si>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</si>
  <si>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</si>
  <si>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</si>
  <si>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</si>
  <si>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</si>
  <si>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</si>
  <si>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</si>
  <si>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</si>
  <si>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</si>
  <si>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</si>
  <si>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</si>
  <si>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</si>
  <si>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</si>
  <si>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</si>
  <si>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</si>
  <si>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</si>
  <si>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</si>
  <si>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</si>
  <si>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</si>
  <si>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</si>
  <si>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</si>
  <si>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</si>
  <si>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</si>
  <si>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</si>
  <si>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</si>
  <si>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</si>
  <si>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</si>
  <si>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</si>
  <si>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</si>
  <si>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</si>
  <si>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</si>
  <si>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</si>
  <si>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</si>
  <si>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</si>
  <si>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</si>
  <si>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</si>
  <si>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</si>
  <si>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</si>
  <si>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</si>
  <si>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</si>
  <si>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</si>
  <si>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</si>
  <si>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</si>
  <si>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</si>
  <si>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</si>
  <si>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</si>
  <si>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</si>
  <si>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</si>
  <si>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</si>
  <si>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</si>
  <si>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</si>
  <si>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</si>
  <si>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</si>
  <si>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</si>
  <si>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</si>
  <si>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</si>
  <si>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</si>
  <si>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</si>
  <si>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</si>
  <si>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</si>
  <si>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</si>
  <si>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</si>
  <si>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</si>
  <si>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</si>
  <si>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</si>
  <si>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</si>
  <si>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</si>
  <si>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</si>
  <si>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</si>
  <si>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</si>
  <si>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</si>
  <si>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</si>
  <si>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</si>
  <si>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</si>
  <si>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</si>
  <si>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</si>
  <si>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</si>
  <si>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</si>
  <si>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</si>
  <si>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</si>
  <si>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</si>
  <si>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</si>
  <si>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</si>
  <si>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</si>
  <si>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</si>
  <si>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</si>
  <si>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</si>
  <si>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</si>
  <si>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</si>
  <si>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</si>
  <si>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</si>
  <si>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</si>
  <si>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</si>
  <si>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</si>
  <si>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</si>
  <si>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</si>
  <si>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</si>
  <si>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</si>
  <si>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</si>
  <si>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</si>
  <si>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</si>
  <si>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</si>
  <si>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</si>
  <si>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</si>
  <si>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</si>
  <si>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</si>
  <si>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</si>
  <si>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</si>
  <si>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</si>
  <si>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</si>
  <si>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</si>
  <si>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</si>
  <si>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</si>
  <si>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</si>
  <si>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</si>
  <si>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</si>
  <si>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</si>
  <si>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</si>
  <si>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</si>
  <si>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</si>
  <si>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</si>
  <si>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</si>
  <si>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</si>
  <si>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</si>
  <si>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</si>
  <si>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</si>
  <si>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</si>
  <si>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</si>
  <si>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</si>
  <si>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</si>
  <si>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</si>
  <si>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</si>
  <si>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</si>
  <si>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</si>
  <si>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</si>
  <si>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</si>
  <si>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</si>
  <si>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</si>
  <si>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</si>
  <si>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</si>
  <si>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</si>
  <si>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</si>
  <si>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</si>
  <si>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</si>
  <si>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</si>
  <si>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</si>
  <si>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</si>
  <si>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</si>
  <si>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</si>
  <si>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</si>
  <si>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</si>
  <si>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</si>
  <si>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</si>
  <si>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</si>
  <si>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</si>
  <si>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</si>
  <si>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</si>
  <si>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</si>
  <si>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</si>
  <si>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</si>
  <si>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</si>
  <si>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</si>
  <si>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</si>
  <si>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</si>
  <si>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</si>
  <si>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</si>
  <si>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</si>
  <si>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</si>
  <si>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</si>
  <si>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</si>
  <si>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</si>
  <si>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</si>
  <si>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</si>
  <si>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</si>
  <si>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</si>
  <si>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</si>
  <si>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</si>
  <si>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</si>
  <si>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</si>
  <si>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</si>
  <si>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</si>
  <si>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</si>
  <si>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</si>
  <si>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</si>
  <si>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</si>
  <si>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</si>
  <si>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</si>
  <si>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</si>
  <si>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</si>
  <si>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</si>
  <si>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</si>
  <si>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</si>
  <si>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</si>
  <si>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Ledningsnet ≤ Ø 200 mm</t>
  </si>
  <si>
    <t>Indregnet fradrag i økonomisk ramme for 2022</t>
  </si>
  <si>
    <t>Indregnet fradrag i økonomisk ramme for 2023</t>
  </si>
  <si>
    <t>Korrektion af fradrag i den økonomiske ramme for 2023</t>
  </si>
  <si>
    <t>Tillæg/fradrag i den økonnomiske ramme for 2023</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</si>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</sst>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226</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236</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254</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247</v>
      </c>
      <c r="D25" s="102" t="s">
        <v>238</v>
      </c>
      <c r="E25" s="103"/>
      <c r="F25" s="103"/>
      <c r="G25" s="104"/>
      <c r="H25" s="1"/>
      <c r="I25" s="1"/>
    </row>
    <row r="26" spans="1:9" x14ac:dyDescent="0.25">
      <c r="A26" s="1"/>
      <c r="B26" s="1"/>
      <c r="C26" s="6" t="s">
        <v>248</v>
      </c>
      <c r="D26" s="102" t="s">
        <v>84</v>
      </c>
      <c r="E26" s="103"/>
      <c r="F26" s="103"/>
      <c r="G26" s="104"/>
      <c r="H26" s="1"/>
      <c r="I26" s="1"/>
    </row>
    <row r="27" spans="1:9" x14ac:dyDescent="0.25">
      <c r="A27" s="1"/>
      <c r="B27" s="1"/>
      <c r="C27" s="6" t="s">
        <v>249</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250</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2Vh3rjKqDAeI0vrRV7XYjzWBnt9jQvx3Iy9JJOzqlEzZSpM+a3hdK0chABAKkzQvmZsAOoOe+jxJzkP2PEGEnQ==" saltValue="Yt1ePsFbMkQtPiJsRqhQa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241</v>
      </c>
      <c r="D9" s="11"/>
      <c r="E9" s="1"/>
      <c r="F9" s="1"/>
    </row>
    <row r="10" spans="1:6" x14ac:dyDescent="0.25">
      <c r="A10" s="1"/>
      <c r="B10" s="94" t="s">
        <v>266</v>
      </c>
      <c r="C10" s="9">
        <v>2221197</v>
      </c>
      <c r="D10" s="14" t="s">
        <v>3</v>
      </c>
      <c r="E10" s="1"/>
      <c r="F10" s="1"/>
    </row>
    <row r="11" spans="1:6" x14ac:dyDescent="0.25">
      <c r="A11" s="1"/>
      <c r="B11" s="94" t="s">
        <v>267</v>
      </c>
      <c r="C11" s="9">
        <v>164312</v>
      </c>
      <c r="D11" s="14" t="s">
        <v>3</v>
      </c>
      <c r="E11" s="1"/>
      <c r="F11" s="1"/>
    </row>
    <row r="12" spans="1:6" x14ac:dyDescent="0.25">
      <c r="A12" s="1"/>
      <c r="B12" s="94" t="s">
        <v>268</v>
      </c>
      <c r="C12" s="9">
        <v>41440</v>
      </c>
      <c r="D12" s="14" t="s">
        <v>3</v>
      </c>
      <c r="E12" s="1"/>
      <c r="F12" s="1"/>
    </row>
    <row r="13" spans="1:6" x14ac:dyDescent="0.25">
      <c r="A13" s="1"/>
      <c r="B13" s="94" t="s">
        <v>269</v>
      </c>
      <c r="C13" s="9">
        <v>603468</v>
      </c>
      <c r="D13" s="14" t="s">
        <v>3</v>
      </c>
      <c r="E13" s="1"/>
      <c r="F13" s="1"/>
    </row>
    <row r="14" spans="1:6" x14ac:dyDescent="0.25">
      <c r="A14" s="1"/>
      <c r="B14" s="94" t="s">
        <v>270</v>
      </c>
      <c r="C14" s="9">
        <v>105884</v>
      </c>
      <c r="D14" s="14" t="s">
        <v>3</v>
      </c>
      <c r="E14" s="1"/>
      <c r="F14" s="1"/>
    </row>
    <row r="15" spans="1:6" x14ac:dyDescent="0.25">
      <c r="A15" s="1"/>
      <c r="B15" s="32" t="s">
        <v>200</v>
      </c>
      <c r="C15" s="12">
        <f>SUM(C10:C14)</f>
        <v>3136301</v>
      </c>
      <c r="D15" s="13" t="s">
        <v>3</v>
      </c>
      <c r="E15" s="1"/>
      <c r="F15" s="1"/>
    </row>
    <row r="16" spans="1:6" x14ac:dyDescent="0.25">
      <c r="A16" s="1"/>
      <c r="B16" s="32" t="s">
        <v>201</v>
      </c>
      <c r="C16" s="12">
        <f>C15*(1+'Fane 15. Nøgletal'!C15)^2</f>
        <v>3363580.4536353601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5" t="s">
        <v>117</v>
      </c>
      <c r="C19" s="136"/>
      <c r="D19" s="137"/>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5"/>
      <c r="C24" s="136"/>
      <c r="D24" s="137"/>
      <c r="E24" s="1"/>
      <c r="F24" s="1"/>
    </row>
    <row r="25" spans="1:6" x14ac:dyDescent="0.25">
      <c r="A25" s="1"/>
      <c r="B25" s="1"/>
      <c r="C25" s="1"/>
      <c r="D25" s="1"/>
      <c r="E25" s="1"/>
      <c r="F25" s="1"/>
    </row>
    <row r="26" spans="1:6" x14ac:dyDescent="0.25">
      <c r="A26" s="1"/>
      <c r="B26" s="1"/>
      <c r="C26" s="1"/>
      <c r="D26" s="1"/>
      <c r="E26" s="1"/>
      <c r="F26" s="1"/>
    </row>
    <row r="27" spans="1:6" x14ac:dyDescent="0.25">
      <c r="A27" s="1"/>
      <c r="B27" s="135" t="s">
        <v>98</v>
      </c>
      <c r="C27" s="136"/>
      <c r="D27" s="137"/>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5"/>
      <c r="C32" s="136"/>
      <c r="D32" s="13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Tg/sZY4N4jr35OZiio13L6cnQSHrHTcTzGpBAiT0eSWuykwbjRAINtspBRcbw0GbpsA4KPJBsptXy3KqRBkgrQ==" saltValue="zBM44A2wki/CuU3kqRLoO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3.28515625" style="2" customWidth="1"/>
    <col min="5" max="5" width="14.285156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7211033.6963473558</v>
      </c>
      <c r="F9" s="14" t="s">
        <v>3</v>
      </c>
      <c r="G9" s="1"/>
    </row>
    <row r="10" spans="1:7" x14ac:dyDescent="0.25">
      <c r="A10" s="1"/>
      <c r="B10" s="140" t="s">
        <v>264</v>
      </c>
      <c r="C10" s="141"/>
      <c r="D10" s="142"/>
      <c r="E10" s="9">
        <v>7211033.6963473558</v>
      </c>
      <c r="F10" s="14" t="s">
        <v>3</v>
      </c>
      <c r="G10" s="1"/>
    </row>
    <row r="11" spans="1:7" x14ac:dyDescent="0.25">
      <c r="A11" s="1"/>
      <c r="B11" s="32"/>
      <c r="C11" s="27"/>
      <c r="D11" s="27"/>
      <c r="E11" s="27"/>
      <c r="F11" s="19"/>
      <c r="G11" s="1"/>
    </row>
    <row r="12" spans="1:7" ht="81" customHeight="1" x14ac:dyDescent="0.25">
      <c r="A12" s="1"/>
      <c r="B12" s="125" t="s">
        <v>288</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283</v>
      </c>
      <c r="C15" s="141"/>
      <c r="D15" s="142"/>
      <c r="E15" s="9">
        <v>0</v>
      </c>
      <c r="F15" s="14" t="s">
        <v>3</v>
      </c>
      <c r="G15" s="1"/>
    </row>
    <row r="16" spans="1:7" x14ac:dyDescent="0.25">
      <c r="A16" s="1"/>
      <c r="B16" s="140" t="s">
        <v>284</v>
      </c>
      <c r="C16" s="141"/>
      <c r="D16" s="142"/>
      <c r="E16" s="9">
        <v>0</v>
      </c>
      <c r="F16" s="14" t="s">
        <v>3</v>
      </c>
      <c r="G16" s="1"/>
    </row>
    <row r="17" spans="1:7" x14ac:dyDescent="0.25">
      <c r="A17" s="1"/>
      <c r="B17" s="32"/>
      <c r="C17" s="27"/>
      <c r="D17" s="27"/>
      <c r="E17" s="27"/>
      <c r="F17" s="19"/>
      <c r="G17" s="1"/>
    </row>
    <row r="18" spans="1:7" ht="31.5" customHeight="1" x14ac:dyDescent="0.25">
      <c r="A18" s="1"/>
      <c r="B18" s="125" t="s">
        <v>289</v>
      </c>
      <c r="C18" s="126"/>
      <c r="D18" s="126"/>
      <c r="E18" s="126"/>
      <c r="F18" s="127"/>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130208642.80926347</v>
      </c>
      <c r="F21" s="14" t="s">
        <v>3</v>
      </c>
      <c r="G21" s="1"/>
    </row>
    <row r="22" spans="1:7" x14ac:dyDescent="0.25">
      <c r="A22" s="1"/>
      <c r="B22" s="91" t="s">
        <v>207</v>
      </c>
      <c r="C22" s="92"/>
      <c r="D22" s="93"/>
      <c r="E22" s="9">
        <v>133684287</v>
      </c>
      <c r="F22" s="14" t="s">
        <v>3</v>
      </c>
      <c r="G22" s="1"/>
    </row>
    <row r="23" spans="1:7" x14ac:dyDescent="0.25">
      <c r="A23" s="1"/>
      <c r="B23" s="91" t="s">
        <v>33</v>
      </c>
      <c r="C23" s="92"/>
      <c r="D23" s="93"/>
      <c r="E23" s="9">
        <v>0</v>
      </c>
      <c r="F23" s="14" t="s">
        <v>3</v>
      </c>
      <c r="G23" s="1"/>
    </row>
    <row r="24" spans="1:7" x14ac:dyDescent="0.25">
      <c r="A24" s="1"/>
      <c r="B24" s="89" t="s">
        <v>271</v>
      </c>
      <c r="C24" s="90"/>
      <c r="D24" s="96"/>
      <c r="E24" s="72">
        <f>E21-(E22-E23)</f>
        <v>-3475644.1907365322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285</v>
      </c>
      <c r="C27" s="136"/>
      <c r="D27" s="136"/>
      <c r="E27" s="136"/>
      <c r="F27" s="137"/>
      <c r="G27" s="1"/>
    </row>
    <row r="28" spans="1:7" x14ac:dyDescent="0.25">
      <c r="A28" s="1"/>
      <c r="B28" s="138" t="s">
        <v>286</v>
      </c>
      <c r="C28" s="139"/>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265</v>
      </c>
      <c r="C31" s="136"/>
      <c r="D31" s="136"/>
      <c r="E31" s="136"/>
      <c r="F31" s="137"/>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50"/>
      <c r="B40" s="50"/>
      <c r="C40" s="50"/>
      <c r="D40" s="50"/>
      <c r="E40" s="50"/>
      <c r="F40" s="50"/>
      <c r="G40" s="50"/>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95xfy3CWVkr0+e2oj8n48kJFsZqx6rnJpO7gC7zoD0AdA67KaURP/BKRyENORnd5PP1Rh6lQGW31zdscGrSBUA==" saltValue="3ZhvGFeffOA8axHIatb8B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251</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263</v>
      </c>
      <c r="C8" s="136"/>
      <c r="D8" s="136"/>
      <c r="E8" s="136"/>
      <c r="F8" s="136"/>
      <c r="G8" s="136"/>
      <c r="H8" s="137"/>
      <c r="I8" s="1"/>
    </row>
    <row r="9" spans="1:9" ht="15" customHeight="1" x14ac:dyDescent="0.25">
      <c r="A9" s="1"/>
      <c r="B9" s="132" t="s">
        <v>252</v>
      </c>
      <c r="C9" s="133"/>
      <c r="D9" s="133"/>
      <c r="E9" s="133"/>
      <c r="F9" s="133"/>
      <c r="G9" s="133"/>
      <c r="H9" s="134"/>
      <c r="I9" s="1"/>
    </row>
    <row r="10" spans="1:9" x14ac:dyDescent="0.25">
      <c r="A10" s="1"/>
      <c r="B10" s="163" t="s">
        <v>274</v>
      </c>
      <c r="C10" s="164"/>
      <c r="D10" s="164"/>
      <c r="E10" s="164"/>
      <c r="F10" s="165"/>
      <c r="G10" s="9">
        <v>0</v>
      </c>
      <c r="H10" s="9" t="s">
        <v>3</v>
      </c>
      <c r="I10" s="1"/>
    </row>
    <row r="11" spans="1:9" x14ac:dyDescent="0.25">
      <c r="A11" s="1"/>
      <c r="B11" s="163" t="s">
        <v>275</v>
      </c>
      <c r="C11" s="164"/>
      <c r="D11" s="164"/>
      <c r="E11" s="164"/>
      <c r="F11" s="165"/>
      <c r="G11" s="9">
        <v>0</v>
      </c>
      <c r="H11" s="9" t="s">
        <v>3</v>
      </c>
      <c r="I11" s="1"/>
    </row>
    <row r="12" spans="1:9" x14ac:dyDescent="0.25">
      <c r="A12" s="1"/>
      <c r="B12" s="163" t="s">
        <v>276</v>
      </c>
      <c r="C12" s="164"/>
      <c r="D12" s="164"/>
      <c r="E12" s="164"/>
      <c r="F12" s="165"/>
      <c r="G12" s="9">
        <v>0</v>
      </c>
      <c r="H12" s="9" t="s">
        <v>3</v>
      </c>
      <c r="I12" s="1"/>
    </row>
    <row r="13" spans="1:9" x14ac:dyDescent="0.25">
      <c r="A13" s="1"/>
      <c r="B13" s="163" t="s">
        <v>277</v>
      </c>
      <c r="C13" s="164"/>
      <c r="D13" s="164"/>
      <c r="E13" s="164"/>
      <c r="F13" s="165"/>
      <c r="G13" s="9">
        <v>0</v>
      </c>
      <c r="H13" s="9" t="s">
        <v>3</v>
      </c>
      <c r="I13" s="1"/>
    </row>
    <row r="14" spans="1:9" x14ac:dyDescent="0.25">
      <c r="A14" s="1"/>
      <c r="B14" s="163" t="s">
        <v>278</v>
      </c>
      <c r="C14" s="164"/>
      <c r="D14" s="164"/>
      <c r="E14" s="164"/>
      <c r="F14" s="165"/>
      <c r="G14" s="9">
        <v>0</v>
      </c>
      <c r="H14" s="9" t="s">
        <v>3</v>
      </c>
      <c r="I14" s="1"/>
    </row>
    <row r="15" spans="1:9" x14ac:dyDescent="0.25">
      <c r="A15" s="1"/>
      <c r="B15" s="163" t="s">
        <v>279</v>
      </c>
      <c r="C15" s="164"/>
      <c r="D15" s="164"/>
      <c r="E15" s="164"/>
      <c r="F15" s="165"/>
      <c r="G15" s="9">
        <v>0</v>
      </c>
      <c r="H15" s="9" t="s">
        <v>3</v>
      </c>
      <c r="I15" s="1"/>
    </row>
    <row r="16" spans="1:9" x14ac:dyDescent="0.25">
      <c r="A16" s="1"/>
      <c r="B16" s="163" t="s">
        <v>280</v>
      </c>
      <c r="C16" s="164"/>
      <c r="D16" s="164"/>
      <c r="E16" s="164"/>
      <c r="F16" s="165"/>
      <c r="G16" s="9">
        <v>0</v>
      </c>
      <c r="H16" s="9" t="s">
        <v>3</v>
      </c>
      <c r="I16" s="1"/>
    </row>
    <row r="17" spans="1:9" x14ac:dyDescent="0.25">
      <c r="A17" s="1"/>
      <c r="B17" s="163" t="s">
        <v>281</v>
      </c>
      <c r="C17" s="164"/>
      <c r="D17" s="164"/>
      <c r="E17" s="164"/>
      <c r="F17" s="165"/>
      <c r="G17" s="9">
        <v>0</v>
      </c>
      <c r="H17" s="9" t="s">
        <v>3</v>
      </c>
      <c r="I17" s="1"/>
    </row>
    <row r="18" spans="1:9" x14ac:dyDescent="0.25">
      <c r="A18" s="1"/>
      <c r="B18" s="135" t="s">
        <v>253</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G/oMxG7Gv+NwAPnIXcktjgJ4dxMlUiEXrMYO3QyVv7sgyj0s8vMjBhLMEteJxs5tqFzV4ipi7DcWzS8sOtbr6g==" saltValue="nHHAELQP5UlpyjW29KKN9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255</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251897</v>
      </c>
      <c r="F11" s="8" t="s">
        <v>3</v>
      </c>
      <c r="G11" s="1"/>
    </row>
    <row r="12" spans="1:7" x14ac:dyDescent="0.25">
      <c r="A12" s="1"/>
      <c r="B12" s="138" t="s">
        <v>101</v>
      </c>
      <c r="C12" s="139"/>
      <c r="D12" s="159"/>
      <c r="E12" s="10">
        <f>E11-E10</f>
        <v>251897</v>
      </c>
      <c r="F12" s="11" t="s">
        <v>3</v>
      </c>
      <c r="G12" s="1"/>
    </row>
    <row r="13" spans="1:7" x14ac:dyDescent="0.25">
      <c r="A13" s="1"/>
      <c r="B13" s="135" t="s">
        <v>94</v>
      </c>
      <c r="C13" s="136"/>
      <c r="D13" s="136"/>
      <c r="E13" s="136"/>
      <c r="F13" s="137"/>
      <c r="G13" s="1"/>
    </row>
    <row r="14" spans="1:7" x14ac:dyDescent="0.25">
      <c r="A14" s="1"/>
      <c r="B14" s="140" t="s">
        <v>210</v>
      </c>
      <c r="C14" s="141"/>
      <c r="D14" s="142"/>
      <c r="E14" s="9">
        <v>0</v>
      </c>
      <c r="F14" s="8" t="s">
        <v>3</v>
      </c>
      <c r="G14" s="1"/>
    </row>
    <row r="15" spans="1:7" x14ac:dyDescent="0.25">
      <c r="A15" s="1"/>
      <c r="B15" s="125" t="s">
        <v>211</v>
      </c>
      <c r="C15" s="126"/>
      <c r="D15" s="127"/>
      <c r="E15" s="9">
        <v>0</v>
      </c>
      <c r="F15" s="8" t="s">
        <v>3</v>
      </c>
      <c r="G15" s="1"/>
    </row>
    <row r="16" spans="1:7" x14ac:dyDescent="0.25">
      <c r="A16" s="1"/>
      <c r="B16" s="138" t="s">
        <v>101</v>
      </c>
      <c r="C16" s="139"/>
      <c r="D16" s="159"/>
      <c r="E16" s="10">
        <f>E15-E14</f>
        <v>0</v>
      </c>
      <c r="F16" s="11" t="s">
        <v>3</v>
      </c>
      <c r="G16" s="1"/>
    </row>
    <row r="17" spans="1:7" x14ac:dyDescent="0.25">
      <c r="A17" s="1"/>
      <c r="B17" s="32" t="s">
        <v>212</v>
      </c>
      <c r="C17" s="27"/>
      <c r="D17" s="27"/>
      <c r="E17" s="12">
        <f>E12+E16</f>
        <v>251897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pxSL9PSe88Sct/at8dUeMFnJ1mAROSUCRCElzjx0fK1sQpuiy/DkLfOcQvrcwd7pap3rdWfqS6gwAhYqPZryQ==" saltValue="Z4oLG0oB/9xSp/d+AUMEe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256</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220</v>
      </c>
      <c r="C8" s="136"/>
      <c r="D8" s="136"/>
      <c r="E8" s="136"/>
      <c r="F8" s="136"/>
      <c r="G8" s="136"/>
      <c r="H8" s="136"/>
      <c r="I8" s="136"/>
      <c r="J8" s="136"/>
      <c r="K8" s="137"/>
      <c r="L8" s="1"/>
    </row>
    <row r="9" spans="1:12" ht="39.75" customHeight="1" x14ac:dyDescent="0.25">
      <c r="A9" s="1"/>
      <c r="B9" s="18" t="s">
        <v>0</v>
      </c>
      <c r="C9" s="18" t="s">
        <v>1</v>
      </c>
      <c r="D9" s="166" t="s">
        <v>246</v>
      </c>
      <c r="E9" s="167"/>
      <c r="F9" s="166" t="s">
        <v>2</v>
      </c>
      <c r="G9" s="167"/>
      <c r="H9" s="166" t="s">
        <v>245</v>
      </c>
      <c r="I9" s="167"/>
      <c r="J9" s="166" t="s">
        <v>30</v>
      </c>
      <c r="K9" s="167"/>
      <c r="L9" s="1"/>
    </row>
    <row r="10" spans="1:12" x14ac:dyDescent="0.25">
      <c r="A10" s="1"/>
      <c r="B10" s="97" t="s">
        <v>282</v>
      </c>
      <c r="C10" s="41">
        <v>75</v>
      </c>
      <c r="D10" s="9">
        <v>0</v>
      </c>
      <c r="E10" s="14" t="s">
        <v>3</v>
      </c>
      <c r="F10" s="9">
        <f>IFERROR(D10/C10,0)</f>
        <v>0</v>
      </c>
      <c r="G10" s="14" t="s">
        <v>3</v>
      </c>
      <c r="H10" s="44">
        <v>463712</v>
      </c>
      <c r="I10" s="14" t="s">
        <v>3</v>
      </c>
      <c r="J10" s="44">
        <v>315409</v>
      </c>
      <c r="K10" s="14" t="s">
        <v>3</v>
      </c>
      <c r="L10" s="1"/>
    </row>
    <row r="11" spans="1:12" x14ac:dyDescent="0.25">
      <c r="A11" s="1"/>
      <c r="B11" s="86" t="s">
        <v>221</v>
      </c>
      <c r="C11" s="87"/>
      <c r="D11" s="88"/>
      <c r="E11" s="88"/>
      <c r="F11" s="12">
        <f>SUM(F10:F10)</f>
        <v>0</v>
      </c>
      <c r="G11" s="12" t="s">
        <v>244</v>
      </c>
      <c r="H11" s="12">
        <f>SUM(H10:H10)</f>
        <v>463712</v>
      </c>
      <c r="I11" s="12" t="s">
        <v>244</v>
      </c>
      <c r="J11" s="12">
        <f>SUM(J10:J10)</f>
        <v>315409</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Iw6u4AK7FNyWDSUkZ5hR2HGnIRw3JhHdNjE1G4ahEHp3LvzovyUTaZkchc3vBuKJ3n/EBLJZ9cEeOJfOpF12aw==" saltValue="43SpY03SNNMG2qyEzn3U+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227</v>
      </c>
      <c r="C10" s="21">
        <f>'Fane 10. Anlægsprojekter (§ 19)'!H11</f>
        <v>463712</v>
      </c>
      <c r="D10" s="14" t="s">
        <v>3</v>
      </c>
      <c r="E10" s="9">
        <f>SUM('Fane 10. Anlægsprojekter (§ 19)'!F11,'Fane 10. Anlægsprojekter (§ 19)'!J11)</f>
        <v>315409</v>
      </c>
      <c r="F10" s="14" t="s">
        <v>3</v>
      </c>
      <c r="G10" s="1"/>
    </row>
    <row r="11" spans="1:7" x14ac:dyDescent="0.25">
      <c r="A11" s="1"/>
      <c r="B11" s="23" t="s">
        <v>273</v>
      </c>
      <c r="C11" s="21">
        <v>248168</v>
      </c>
      <c r="D11" s="14" t="s">
        <v>3</v>
      </c>
      <c r="E11" s="9">
        <v>1152407</v>
      </c>
      <c r="F11" s="14" t="s">
        <v>3</v>
      </c>
      <c r="G11" s="1"/>
    </row>
    <row r="12" spans="1:7" x14ac:dyDescent="0.25">
      <c r="A12" s="1"/>
      <c r="B12" s="32" t="s">
        <v>156</v>
      </c>
      <c r="C12" s="12">
        <f>SUM(C10:C11)</f>
        <v>711880</v>
      </c>
      <c r="D12" s="13" t="s">
        <v>3</v>
      </c>
      <c r="E12" s="12">
        <f>SUM(E10:E11)</f>
        <v>1467816</v>
      </c>
      <c r="F12" s="13" t="s">
        <v>3</v>
      </c>
      <c r="G12" s="1"/>
    </row>
    <row r="13" spans="1:7" x14ac:dyDescent="0.25">
      <c r="A13" s="1"/>
      <c r="B13" s="32" t="s">
        <v>213</v>
      </c>
      <c r="C13" s="12">
        <f>C12*(1+'Fane 15. Nøgletal'!C15)</f>
        <v>737222.92800000007</v>
      </c>
      <c r="D13" s="13" t="s">
        <v>3</v>
      </c>
      <c r="E13" s="12">
        <f>E12*(1+'Fane 15. Nøgletal'!C15)</f>
        <v>1520070.2496000002</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YJqVA3D6bBOLtNtMjUtahb9iv3BgMmio5+5M+geu0/nUY8QiS6BRDdn7Xy3WStvI0vVo6sudyxF/I/T0WeA+g==" saltValue="hWfgM24dG58zRqL8+uQ65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258</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4" t="s">
        <v>17</v>
      </c>
      <c r="C9" s="84" t="s">
        <v>11</v>
      </c>
      <c r="D9" s="85"/>
      <c r="E9" s="84" t="s">
        <v>31</v>
      </c>
      <c r="F9" s="31"/>
      <c r="G9" s="1"/>
    </row>
    <row r="10" spans="1:7" x14ac:dyDescent="0.25">
      <c r="A10" s="1"/>
      <c r="B10" s="23" t="s">
        <v>287</v>
      </c>
      <c r="C10" s="21">
        <v>0</v>
      </c>
      <c r="D10" s="14" t="s">
        <v>3</v>
      </c>
      <c r="E10" s="9">
        <v>0</v>
      </c>
      <c r="F10" s="14" t="s">
        <v>3</v>
      </c>
      <c r="G10" s="1"/>
    </row>
    <row r="11" spans="1:7" x14ac:dyDescent="0.25">
      <c r="A11" s="1"/>
      <c r="B11" s="32" t="s">
        <v>233</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dlPKKb0rQxUjQl8WRZloV5j4pmpDMbIm/Dpk55hTnvPnBKZoPprqKk83ms+9Ar/VNwTqThQifC+lLRmYoNMABg==" saltValue="2BG/ZIvguJcSGK88sXt6m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225</v>
      </c>
      <c r="C10" s="164"/>
      <c r="D10" s="165"/>
      <c r="E10" s="9">
        <v>1975568.1690355677</v>
      </c>
      <c r="F10" s="14" t="s">
        <v>3</v>
      </c>
      <c r="G10" s="1"/>
    </row>
    <row r="11" spans="1:7" x14ac:dyDescent="0.25">
      <c r="A11" s="1"/>
      <c r="B11" s="129" t="s">
        <v>10</v>
      </c>
      <c r="C11" s="130"/>
      <c r="D11" s="131"/>
      <c r="E11" s="9">
        <f>-E10*'Fane 5. Individuelt eff. krav'!G9</f>
        <v>-19771.794285733784</v>
      </c>
      <c r="F11" s="14" t="s">
        <v>3</v>
      </c>
      <c r="G11" s="1"/>
    </row>
    <row r="12" spans="1:7" x14ac:dyDescent="0.25">
      <c r="A12" s="1"/>
      <c r="B12" s="129" t="s">
        <v>24</v>
      </c>
      <c r="C12" s="130"/>
      <c r="D12" s="131"/>
      <c r="E12" s="9">
        <f>-E10*'Fane 15. Nøgletal'!C31</f>
        <v>-39511.363380711351</v>
      </c>
      <c r="F12" s="14" t="s">
        <v>3</v>
      </c>
      <c r="G12" s="1"/>
    </row>
    <row r="13" spans="1:7" x14ac:dyDescent="0.25">
      <c r="A13" s="1"/>
      <c r="B13" s="135" t="s">
        <v>92</v>
      </c>
      <c r="C13" s="136"/>
      <c r="D13" s="137"/>
      <c r="E13" s="12">
        <f>SUM(E10:E12)*(1+'Fane 15. Nøgletal'!C15)^2</f>
        <v>2055153.1271506131</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225</v>
      </c>
      <c r="C16" s="164"/>
      <c r="D16" s="165"/>
      <c r="E16" s="9">
        <v>1975568.1690355677</v>
      </c>
      <c r="F16" s="14" t="s">
        <v>3</v>
      </c>
      <c r="G16" s="1"/>
    </row>
    <row r="17" spans="1:7" x14ac:dyDescent="0.25">
      <c r="A17" s="1"/>
      <c r="B17" s="129" t="s">
        <v>10</v>
      </c>
      <c r="C17" s="130"/>
      <c r="D17" s="131"/>
      <c r="E17" s="9">
        <f>-E16*'Fane 5. Individuelt eff. krav'!G9</f>
        <v>-19771.794285733784</v>
      </c>
      <c r="F17" s="14" t="s">
        <v>3</v>
      </c>
      <c r="G17" s="1"/>
    </row>
    <row r="18" spans="1:7" x14ac:dyDescent="0.25">
      <c r="A18" s="1"/>
      <c r="B18" s="129" t="s">
        <v>24</v>
      </c>
      <c r="C18" s="130"/>
      <c r="D18" s="131"/>
      <c r="E18" s="9">
        <f>-E16*'Fane 15. Nøgletal'!C31</f>
        <v>-39511.363380711351</v>
      </c>
      <c r="F18" s="14" t="s">
        <v>3</v>
      </c>
      <c r="G18" s="1"/>
    </row>
    <row r="19" spans="1:7" x14ac:dyDescent="0.25">
      <c r="A19" s="1"/>
      <c r="B19" s="135" t="s">
        <v>131</v>
      </c>
      <c r="C19" s="136"/>
      <c r="D19" s="137"/>
      <c r="E19" s="12">
        <f>SUM(E16:E18)*(1+'Fane 15. Nøgletal'!C15)^3</f>
        <v>2128316.578477175</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225</v>
      </c>
      <c r="C22" s="164"/>
      <c r="D22" s="165"/>
      <c r="E22" s="9">
        <v>1975568.1690355677</v>
      </c>
      <c r="F22" s="14" t="s">
        <v>3</v>
      </c>
      <c r="G22" s="1"/>
    </row>
    <row r="23" spans="1:7" x14ac:dyDescent="0.25">
      <c r="A23" s="1"/>
      <c r="B23" s="129" t="s">
        <v>10</v>
      </c>
      <c r="C23" s="130"/>
      <c r="D23" s="131"/>
      <c r="E23" s="9">
        <f>-E22*'Fane 5. Individuelt eff. krav'!G9</f>
        <v>-19771.794285733784</v>
      </c>
      <c r="F23" s="14" t="s">
        <v>3</v>
      </c>
      <c r="G23" s="1"/>
    </row>
    <row r="24" spans="1:7" x14ac:dyDescent="0.25">
      <c r="A24" s="1"/>
      <c r="B24" s="129" t="s">
        <v>24</v>
      </c>
      <c r="C24" s="130"/>
      <c r="D24" s="131"/>
      <c r="E24" s="9">
        <f>-E22*'Fane 15. Nøgletal'!C31</f>
        <v>-39511.363380711351</v>
      </c>
      <c r="F24" s="14" t="s">
        <v>3</v>
      </c>
      <c r="G24" s="1"/>
    </row>
    <row r="25" spans="1:7" x14ac:dyDescent="0.25">
      <c r="A25" s="1"/>
      <c r="B25" s="135" t="s">
        <v>158</v>
      </c>
      <c r="C25" s="136"/>
      <c r="D25" s="137"/>
      <c r="E25" s="12">
        <f>SUM(E22:E24)*(1+'Fane 15. Nøgletal'!C15)^4</f>
        <v>2204084.6486709625</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225</v>
      </c>
      <c r="C28" s="164"/>
      <c r="D28" s="165"/>
      <c r="E28" s="9">
        <v>1975568.1690355677</v>
      </c>
      <c r="F28" s="14" t="s">
        <v>3</v>
      </c>
      <c r="G28" s="1"/>
    </row>
    <row r="29" spans="1:7" x14ac:dyDescent="0.25">
      <c r="A29" s="1"/>
      <c r="B29" s="129" t="s">
        <v>10</v>
      </c>
      <c r="C29" s="130"/>
      <c r="D29" s="131"/>
      <c r="E29" s="9">
        <f>-E28*'Fane 5. Individuelt eff. krav'!G9</f>
        <v>-19771.794285733784</v>
      </c>
      <c r="F29" s="14" t="s">
        <v>3</v>
      </c>
      <c r="G29" s="1"/>
    </row>
    <row r="30" spans="1:7" x14ac:dyDescent="0.25">
      <c r="A30" s="1"/>
      <c r="B30" s="129" t="s">
        <v>24</v>
      </c>
      <c r="C30" s="130"/>
      <c r="D30" s="131"/>
      <c r="E30" s="9">
        <f>-E28*'Fane 15. Nøgletal'!C31</f>
        <v>-39511.363380711351</v>
      </c>
      <c r="F30" s="14" t="s">
        <v>3</v>
      </c>
      <c r="G30" s="1"/>
    </row>
    <row r="31" spans="1:7" x14ac:dyDescent="0.25">
      <c r="A31" s="1"/>
      <c r="B31" s="135" t="s">
        <v>215</v>
      </c>
      <c r="C31" s="136"/>
      <c r="D31" s="137"/>
      <c r="E31" s="12">
        <f>SUM(E28:E30)*(1+'Fane 15. Nøgletal'!C15)^5</f>
        <v>2282550.0621636491</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9fxDgU9tPYG5azkwTs1wI3IP6j/BBZ+LZmtPV0Fqms+/KyjLnJF586EZJlzyVTGbcCHJeCmhBUEYHNeH0+rHQ==" saltValue="TTOlmjAOEfYTpooAA0mEf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42578125" style="2" customWidth="1"/>
    <col min="2" max="2" width="41" style="2" customWidth="1"/>
    <col min="3" max="3" width="15.5703125" style="2" customWidth="1"/>
    <col min="4" max="4" width="3.28515625" style="2" customWidth="1"/>
    <col min="5" max="5" width="17.140625" style="2" customWidth="1"/>
    <col min="6" max="6" width="3.28515625" style="2" customWidth="1"/>
    <col min="7" max="7" width="2.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272</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nzwEDrsemsKIjfL1bxulkeWfl/KMs/dzsiu80rQedmvP6tSGcBxv3GUjtPPr2kN7K2BjoIt3PEybDkYb3xMow==" saltValue="gKZUeRuSJJtlvXqS4lgM4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261</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235</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0kjHw1hIcvvtllIQCfCyhXjUoCNWQRi+N26d+Pw6JyPm6WgUX4zc5Wcsktie08gl3pyjZ2jH1WBRiUKxi5/+Lw==" saltValue="vtsQUI/3vIyo/Rv+xHq2o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106" zoomScaleNormal="100" zoomScalePageLayoutView="106"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122357900.20286614</v>
      </c>
      <c r="D9" s="8" t="s">
        <v>3</v>
      </c>
      <c r="E9" s="1"/>
    </row>
    <row r="10" spans="1:5" ht="17.25" customHeight="1" x14ac:dyDescent="0.25">
      <c r="A10" s="1"/>
      <c r="B10" s="83" t="s">
        <v>39</v>
      </c>
      <c r="C10" s="7">
        <f>'Fane 11.1. Varige tillæg'!C13</f>
        <v>737222.92800000007</v>
      </c>
      <c r="D10" s="8" t="s">
        <v>3</v>
      </c>
      <c r="E10" s="1"/>
    </row>
    <row r="11" spans="1:5" ht="17.25" customHeight="1" x14ac:dyDescent="0.25">
      <c r="A11" s="1"/>
      <c r="B11" s="83" t="s">
        <v>40</v>
      </c>
      <c r="C11" s="9">
        <f>'Fane 11.1. Varige tillæg'!E13</f>
        <v>1520070.2496000002</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484140.70779201825</v>
      </c>
      <c r="D16" s="8" t="s">
        <v>3</v>
      </c>
      <c r="E16" s="1"/>
    </row>
    <row r="17" spans="1:5" ht="17.25" customHeight="1" x14ac:dyDescent="0.25">
      <c r="A17" s="1"/>
      <c r="B17" s="83" t="s">
        <v>10</v>
      </c>
      <c r="C17" s="44">
        <f>-SUM(C9,C10:C16)*'Fane 5. Individuelt eff. krav'!G9</f>
        <v>-1252013.6422742661</v>
      </c>
      <c r="D17" s="8" t="s">
        <v>3</v>
      </c>
      <c r="E17" s="1"/>
    </row>
    <row r="18" spans="1:5" ht="17.25" customHeight="1" x14ac:dyDescent="0.25">
      <c r="A18" s="1"/>
      <c r="B18" s="83" t="s">
        <v>24</v>
      </c>
      <c r="C18" s="44">
        <f>-'Fane 4.1. Gen. krav - drift'!G45</f>
        <v>-1024896.5087865278</v>
      </c>
      <c r="D18" s="8" t="s">
        <v>3</v>
      </c>
      <c r="E18" s="1"/>
    </row>
    <row r="19" spans="1:5" ht="17.25" customHeight="1" x14ac:dyDescent="0.25">
      <c r="A19" s="1"/>
      <c r="B19" s="83" t="s">
        <v>25</v>
      </c>
      <c r="C19" s="44">
        <f>-'Fane 4.2. Gen. krav - anlæg'!G43</f>
        <v>-1152943.3049938255</v>
      </c>
      <c r="D19" s="8" t="s">
        <v>3</v>
      </c>
      <c r="E19" s="48"/>
    </row>
    <row r="20" spans="1:5" ht="17.25" customHeight="1" x14ac:dyDescent="0.25">
      <c r="A20" s="1"/>
      <c r="B20" s="89" t="s">
        <v>21</v>
      </c>
      <c r="C20" s="10">
        <f>SUM(C9:C19)</f>
        <v>121669480.63220353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3363580.4536353601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2055153.1271506131</v>
      </c>
      <c r="D24" s="11" t="s">
        <v>3</v>
      </c>
      <c r="E24" s="1"/>
    </row>
    <row r="25" spans="1:5" ht="15" customHeight="1" x14ac:dyDescent="0.25">
      <c r="A25" s="1"/>
      <c r="B25" s="47" t="s">
        <v>85</v>
      </c>
      <c r="C25" s="45"/>
      <c r="D25" s="46"/>
      <c r="E25" s="1"/>
    </row>
    <row r="26" spans="1:5" ht="15" customHeight="1" x14ac:dyDescent="0.25">
      <c r="A26" s="1"/>
      <c r="B26" s="83" t="s">
        <v>232</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239</v>
      </c>
      <c r="C28" s="75">
        <f>-C26*('Fane 15. Nøgletal'!C31+'Fane 5. Individuelt eff. krav'!G9)</f>
        <v>0</v>
      </c>
      <c r="D28" s="8" t="s">
        <v>3</v>
      </c>
      <c r="E28" s="1"/>
    </row>
    <row r="29" spans="1:5" ht="15" customHeight="1" x14ac:dyDescent="0.25">
      <c r="A29" s="1"/>
      <c r="B29" s="83" t="s">
        <v>240</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251897</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127340111.21298951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wgJ3U2mQ0bKK8y7SavCypXArjkTSlOa0yr9CkkG0S7P2ZJb9N5YmOTuXdG2vrpjyW0P95pnGfgUOqf8cia/Pg==" saltValue="3OMAJQHocptnJm4wYP52Y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262</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224</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ZeRdMlivrhLWdwkCSnW5BT6qpPDj7A58s4UdylM8fFxd12IVVAIlnQ61r3N3UCB5LfqRSrf9gZntugBEUwiCHQ==" saltValue="aL7bj/87htlx9c0M0J6Tf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121669480.63220353</v>
      </c>
      <c r="D9" s="8" t="s">
        <v>3</v>
      </c>
      <c r="E9" s="1"/>
    </row>
    <row r="10" spans="1:5" ht="15" customHeight="1" x14ac:dyDescent="0.25">
      <c r="A10" s="1"/>
      <c r="B10" s="25" t="s">
        <v>19</v>
      </c>
      <c r="C10" s="7">
        <f>SUM(C9:C9)*'Fane 15. Nøgletal'!C15</f>
        <v>4331433.5105064455</v>
      </c>
      <c r="D10" s="8" t="s">
        <v>3</v>
      </c>
      <c r="E10" s="1"/>
    </row>
    <row r="11" spans="1:5" ht="15" customHeight="1" x14ac:dyDescent="0.25">
      <c r="A11" s="1"/>
      <c r="B11" s="25" t="s">
        <v>10</v>
      </c>
      <c r="C11" s="9">
        <f>-SUM(C9:C10)*'Fane 5. Individuelt eff. krav'!G9</f>
        <v>-1261036.7960424526</v>
      </c>
      <c r="D11" s="8" t="s">
        <v>3</v>
      </c>
      <c r="E11" s="1"/>
    </row>
    <row r="12" spans="1:5" ht="15" customHeight="1" x14ac:dyDescent="0.25">
      <c r="A12" s="1"/>
      <c r="B12" s="25" t="s">
        <v>24</v>
      </c>
      <c r="C12" s="9">
        <f>-'Fane 4.1. Gen. krav - drift'!G53</f>
        <v>-1040155.1680093417</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123699722.17865819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3483323.9177847793</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2128316.578477175</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129311362.67492014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Csq4E14oqklZ15/sVQtiSpv+hfRJmnj9kk49mlOalrqpiMkAPkKnZTcv1m0oZ9MxEaYfzvtvCHF6ZwJyaKLVA==" saltValue="2bJHLTDKfmhpFt96q4K7k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234</v>
      </c>
      <c r="C9" s="7">
        <f>'Fane 2.2. Økonomisk ramme 2024'!C14</f>
        <v>123699722.17865819</v>
      </c>
      <c r="D9" s="8" t="s">
        <v>3</v>
      </c>
      <c r="E9" s="1"/>
    </row>
    <row r="10" spans="1:5" ht="15" customHeight="1" x14ac:dyDescent="0.25">
      <c r="A10" s="1"/>
      <c r="B10" s="25" t="s">
        <v>19</v>
      </c>
      <c r="C10" s="7">
        <f>SUM(C9:C9)*'Fane 15. Nøgletal'!C15</f>
        <v>4403710.1095602317</v>
      </c>
      <c r="D10" s="8" t="s">
        <v>3</v>
      </c>
      <c r="E10" s="1"/>
    </row>
    <row r="11" spans="1:5" ht="15" customHeight="1" x14ac:dyDescent="0.25">
      <c r="A11" s="1"/>
      <c r="B11" s="25" t="s">
        <v>10</v>
      </c>
      <c r="C11" s="9">
        <f>-SUM(C9:C10)*'Fane 5. Individuelt eff. krav'!G9</f>
        <v>-1282079.1254880161</v>
      </c>
      <c r="D11" s="8" t="s">
        <v>3</v>
      </c>
      <c r="E11" s="1"/>
    </row>
    <row r="12" spans="1:5" ht="15" customHeight="1" x14ac:dyDescent="0.25">
      <c r="A12" s="1"/>
      <c r="B12" s="25" t="s">
        <v>24</v>
      </c>
      <c r="C12" s="9">
        <f>-'Fane 4.1. Gen. krav - drift'!G58</f>
        <v>-1055640.9981506648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125765712.16457975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3607330.2492579175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2204084.6486709625</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131577127.06250863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EPv96se6tpPiLm1gsk8pdW1Z2Z22mwgX0b4/5NiGzOIPtEz2YRW+S/raqvSxUEiu/8uiEmdi3RV5i5rcnCJfw==" saltValue="7O0mHRQvSgm3Mvb+Jl9J9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125765712.16457975</v>
      </c>
      <c r="D9" s="8" t="s">
        <v>3</v>
      </c>
      <c r="E9" s="1"/>
    </row>
    <row r="10" spans="1:5" ht="15" customHeight="1" x14ac:dyDescent="0.25">
      <c r="A10" s="1"/>
      <c r="B10" s="25" t="s">
        <v>19</v>
      </c>
      <c r="C10" s="7">
        <f>SUM(C9:C9)*'Fane 15. Nøgletal'!C15</f>
        <v>4477259.3530590395</v>
      </c>
      <c r="D10" s="8" t="s">
        <v>3</v>
      </c>
      <c r="E10" s="1"/>
    </row>
    <row r="11" spans="1:5" ht="15" customHeight="1" x14ac:dyDescent="0.25">
      <c r="A11" s="1"/>
      <c r="B11" s="25" t="s">
        <v>10</v>
      </c>
      <c r="C11" s="9">
        <f>-SUM(C9:C10)*'Fane 5. Individuelt eff. krav'!G9</f>
        <v>-1303491.967714062</v>
      </c>
      <c r="D11" s="8" t="s">
        <v>3</v>
      </c>
      <c r="E11" s="1"/>
    </row>
    <row r="12" spans="1:5" ht="15" customHeight="1" x14ac:dyDescent="0.25">
      <c r="A12" s="1"/>
      <c r="B12" s="25" t="s">
        <v>24</v>
      </c>
      <c r="C12" s="9">
        <f>-'Fane 4.1. Gen. krav - drift'!G63</f>
        <v>-1071357.381331132</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127868122.1685936</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3735751.2061314997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2282550.0621636491</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133886423.43688875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YECcxj8tl3HOgIPmHAp1SuRAL1oDVlSClFAVZxThqgDYCIdhRgDik0DHgjFsIaRge5gv1Q8WqU5VgCqS6+WNGw==" saltValue="5Zmq+9+59+6G9hHNxvjv4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218</v>
      </c>
      <c r="C8" s="27"/>
      <c r="D8" s="27"/>
      <c r="E8" s="27"/>
      <c r="F8" s="19"/>
      <c r="G8" s="1"/>
    </row>
    <row r="9" spans="1:7" ht="15" customHeight="1" x14ac:dyDescent="0.25">
      <c r="A9" s="1"/>
      <c r="B9" s="125" t="s">
        <v>192</v>
      </c>
      <c r="C9" s="126"/>
      <c r="D9" s="127"/>
      <c r="E9" s="7">
        <v>124429012.89001994</v>
      </c>
      <c r="F9" s="8" t="s">
        <v>3</v>
      </c>
      <c r="G9" s="1"/>
    </row>
    <row r="10" spans="1:7" ht="15" customHeight="1" x14ac:dyDescent="0.25">
      <c r="A10" s="1"/>
      <c r="B10" s="129" t="s">
        <v>39</v>
      </c>
      <c r="C10" s="130"/>
      <c r="D10" s="131"/>
      <c r="E10" s="7">
        <v>427784.04410000006</v>
      </c>
      <c r="F10" s="8" t="s">
        <v>3</v>
      </c>
      <c r="G10" s="1"/>
    </row>
    <row r="11" spans="1:7" ht="15" customHeight="1" x14ac:dyDescent="0.25">
      <c r="A11" s="1"/>
      <c r="B11" s="129" t="s">
        <v>40</v>
      </c>
      <c r="C11" s="130"/>
      <c r="D11" s="131"/>
      <c r="E11" s="9">
        <v>539681.08980000007</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413808.37747893581</v>
      </c>
      <c r="F16" s="8" t="s">
        <v>3</v>
      </c>
      <c r="G16" s="1"/>
    </row>
    <row r="17" spans="1:7" ht="15" customHeight="1" x14ac:dyDescent="0.25">
      <c r="A17" s="1"/>
      <c r="B17" s="125" t="s">
        <v>10</v>
      </c>
      <c r="C17" s="126"/>
      <c r="D17" s="127"/>
      <c r="E17" s="9">
        <v>-1259128.9638828579</v>
      </c>
      <c r="F17" s="8" t="s">
        <v>3</v>
      </c>
      <c r="G17" s="1"/>
    </row>
    <row r="18" spans="1:7" ht="15" customHeight="1" x14ac:dyDescent="0.25">
      <c r="A18" s="1"/>
      <c r="B18" s="125" t="s">
        <v>24</v>
      </c>
      <c r="C18" s="126"/>
      <c r="D18" s="127"/>
      <c r="E18" s="9">
        <f>-'Fane 4.1. Gen. krav - drift'!G39</f>
        <v>-1026843.2006031035</v>
      </c>
      <c r="F18" s="8" t="s">
        <v>3</v>
      </c>
      <c r="G18" s="1"/>
    </row>
    <row r="19" spans="1:7" ht="15" customHeight="1" x14ac:dyDescent="0.25">
      <c r="A19" s="1"/>
      <c r="B19" s="125" t="s">
        <v>25</v>
      </c>
      <c r="C19" s="126"/>
      <c r="D19" s="127"/>
      <c r="E19" s="9">
        <f>-'Fane 4.2. Gen. krav - anlæg'!G37</f>
        <v>-1166414.0340467864</v>
      </c>
      <c r="F19" s="8" t="s">
        <v>3</v>
      </c>
      <c r="G19" s="1"/>
    </row>
    <row r="20" spans="1:7" ht="15" customHeight="1" x14ac:dyDescent="0.25">
      <c r="A20" s="1"/>
      <c r="B20" s="54" t="s">
        <v>21</v>
      </c>
      <c r="C20" s="99"/>
      <c r="D20" s="101"/>
      <c r="E20" s="51">
        <f>SUM(E9:E19)</f>
        <v>122357900.20286614</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2798293.7188852406</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1905703.774736152</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0</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928574</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219</v>
      </c>
      <c r="C35" s="56"/>
      <c r="D35" s="19"/>
      <c r="E35" s="45">
        <f>SUM(E32,E30,E28,E24,E22,E20,E34)</f>
        <v>127990471.69648753</v>
      </c>
      <c r="F35" s="52" t="s">
        <v>3</v>
      </c>
      <c r="G35" s="1"/>
    </row>
    <row r="36" spans="1:7" ht="27" customHeight="1" x14ac:dyDescent="0.25">
      <c r="A36" s="1"/>
      <c r="B36" s="125" t="s">
        <v>223</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dzY+c6czzXCpjw33KwlhfEvQQthF8/yu5stPB4oED+u+CcDGk9WtaiLVhRpeacXaHPKY7tIiTawagDD3HdQntA==" saltValue="QVWCI+Jw3j4dYMxBshXkQ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6"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52226179.285570957</v>
      </c>
      <c r="H5" s="14" t="s">
        <v>3</v>
      </c>
      <c r="I5" s="1"/>
    </row>
    <row r="6" spans="1:9" x14ac:dyDescent="0.25">
      <c r="A6" s="1"/>
      <c r="B6" s="125" t="s">
        <v>120</v>
      </c>
      <c r="C6" s="126"/>
      <c r="D6" s="126"/>
      <c r="E6" s="126"/>
      <c r="F6" s="127"/>
      <c r="G6" s="77">
        <v>1849868</v>
      </c>
      <c r="H6" s="14" t="s">
        <v>3</v>
      </c>
      <c r="I6" s="1"/>
    </row>
    <row r="7" spans="1:9" x14ac:dyDescent="0.25">
      <c r="A7" s="1"/>
      <c r="B7" s="140" t="s">
        <v>42</v>
      </c>
      <c r="C7" s="141"/>
      <c r="D7" s="141"/>
      <c r="E7" s="141"/>
      <c r="F7" s="142"/>
      <c r="G7" s="76">
        <f>SUM(G5:G6)*'Fane 15. Nøgletal'!C31</f>
        <v>1081520.9457114192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52039689.860807084</v>
      </c>
      <c r="H11" s="14" t="s">
        <v>3</v>
      </c>
      <c r="I11" s="1"/>
    </row>
    <row r="12" spans="1:9" ht="15" customHeight="1" x14ac:dyDescent="0.25">
      <c r="A12" s="1"/>
      <c r="B12" s="140" t="s">
        <v>121</v>
      </c>
      <c r="C12" s="141"/>
      <c r="D12" s="141"/>
      <c r="E12" s="141"/>
      <c r="F12" s="142"/>
      <c r="G12" s="77">
        <v>0.5948319950513542</v>
      </c>
      <c r="H12" s="14" t="s">
        <v>3</v>
      </c>
      <c r="I12" s="1"/>
    </row>
    <row r="13" spans="1:9" x14ac:dyDescent="0.25">
      <c r="A13" s="1"/>
      <c r="B13" s="125" t="s">
        <v>118</v>
      </c>
      <c r="C13" s="126"/>
      <c r="D13" s="126"/>
      <c r="E13" s="126"/>
      <c r="F13" s="127"/>
      <c r="G13" s="77">
        <v>1882239.6725000001</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1078438.6025627817</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51853073.760505132</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1037061.4752101026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51817087.727315344</v>
      </c>
      <c r="H25" s="14" t="s">
        <v>3</v>
      </c>
      <c r="I25" s="1"/>
    </row>
    <row r="26" spans="1:9" x14ac:dyDescent="0.25">
      <c r="A26" s="1"/>
      <c r="B26" s="147" t="s">
        <v>50</v>
      </c>
      <c r="C26" s="148"/>
      <c r="D26" s="148"/>
      <c r="E26" s="148"/>
      <c r="F26" s="149"/>
      <c r="G26" s="77">
        <v>0</v>
      </c>
      <c r="H26" s="14" t="s">
        <v>3</v>
      </c>
      <c r="I26" s="1"/>
    </row>
    <row r="27" spans="1:9" x14ac:dyDescent="0.25">
      <c r="A27" s="1"/>
      <c r="B27" s="140" t="s">
        <v>51</v>
      </c>
      <c r="C27" s="141"/>
      <c r="D27" s="141"/>
      <c r="E27" s="141"/>
      <c r="F27" s="142"/>
      <c r="G27" s="76">
        <f>(G25+G26)*'Fane 15. Nøgletal'!C31</f>
        <v>1036341.7545463069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51781126.668432586</v>
      </c>
      <c r="H31" s="14" t="s">
        <v>3</v>
      </c>
      <c r="I31" s="1"/>
    </row>
    <row r="32" spans="1:9" x14ac:dyDescent="0.25">
      <c r="A32" s="1"/>
      <c r="B32" s="140" t="s">
        <v>137</v>
      </c>
      <c r="C32" s="141"/>
      <c r="D32" s="141"/>
      <c r="E32" s="141"/>
      <c r="F32" s="142"/>
      <c r="G32" s="76">
        <v>0</v>
      </c>
      <c r="H32" s="14" t="s">
        <v>3</v>
      </c>
      <c r="I32" s="1"/>
    </row>
    <row r="33" spans="1:9" x14ac:dyDescent="0.25">
      <c r="A33" s="1"/>
      <c r="B33" s="140" t="s">
        <v>60</v>
      </c>
      <c r="C33" s="141"/>
      <c r="D33" s="141"/>
      <c r="E33" s="141"/>
      <c r="F33" s="142"/>
      <c r="G33" s="76">
        <f>(G31+G32)*'Fane 15. Nøgletal'!C31</f>
        <v>1035622.5333686518</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50912964.298709646</v>
      </c>
      <c r="H37" s="14" t="s">
        <v>3</v>
      </c>
      <c r="I37" s="1"/>
    </row>
    <row r="38" spans="1:9" x14ac:dyDescent="0.25">
      <c r="A38" s="1"/>
      <c r="B38" s="140" t="s">
        <v>164</v>
      </c>
      <c r="C38" s="141"/>
      <c r="D38" s="141"/>
      <c r="E38" s="141"/>
      <c r="F38" s="142"/>
      <c r="G38" s="76">
        <v>429195.73144553008</v>
      </c>
      <c r="H38" s="14" t="s">
        <v>3</v>
      </c>
      <c r="I38" s="1"/>
    </row>
    <row r="39" spans="1:9" x14ac:dyDescent="0.25">
      <c r="A39" s="1"/>
      <c r="B39" s="140" t="s">
        <v>162</v>
      </c>
      <c r="C39" s="141"/>
      <c r="D39" s="141"/>
      <c r="E39" s="141"/>
      <c r="F39" s="142"/>
      <c r="G39" s="76">
        <f>(G37+G38)*'Fane 15. Nøgletal'!C31</f>
        <v>1026843.2006031035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229</v>
      </c>
      <c r="C43" s="141"/>
      <c r="D43" s="141"/>
      <c r="E43" s="141"/>
      <c r="F43" s="142"/>
      <c r="G43" s="76">
        <f>(G37+G38-G39)*(1+'Fane 15. Nøgletal'!C14)</f>
        <v>50481357.375089593</v>
      </c>
      <c r="H43" s="14" t="s">
        <v>3</v>
      </c>
      <c r="I43" s="1"/>
    </row>
    <row r="44" spans="1:9" x14ac:dyDescent="0.25">
      <c r="A44" s="1"/>
      <c r="B44" s="144" t="s">
        <v>231</v>
      </c>
      <c r="C44" s="145"/>
      <c r="D44" s="145"/>
      <c r="E44" s="145"/>
      <c r="F44" s="146"/>
      <c r="G44" s="80">
        <f>('Fane 2.1. Økonomisk ramme 2023'!C10+'Fane 2.1. Økonomisk ramme 2023'!C12+'Fane 2.1. Økonomisk ramme 2023'!C14)*(1+'Fane 15. Nøgletal'!C15)</f>
        <v>763468.06423680019</v>
      </c>
      <c r="H44" s="14" t="s">
        <v>3</v>
      </c>
      <c r="I44" s="1"/>
    </row>
    <row r="45" spans="1:9" x14ac:dyDescent="0.25">
      <c r="A45" s="1"/>
      <c r="B45" s="140" t="s">
        <v>163</v>
      </c>
      <c r="C45" s="141"/>
      <c r="D45" s="141"/>
      <c r="E45" s="141"/>
      <c r="F45" s="142"/>
      <c r="G45" s="76">
        <f>SUM(G43:G44)*'Fane 15. Nøgletal'!C31</f>
        <v>1024896.5087865278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242</v>
      </c>
      <c r="C51" s="136"/>
      <c r="D51" s="136"/>
      <c r="E51" s="136"/>
      <c r="F51" s="136"/>
      <c r="G51" s="143"/>
      <c r="H51" s="137"/>
      <c r="I51" s="1"/>
    </row>
    <row r="52" spans="1:9" x14ac:dyDescent="0.25">
      <c r="A52" s="1"/>
      <c r="B52" s="140" t="s">
        <v>228</v>
      </c>
      <c r="C52" s="141"/>
      <c r="D52" s="141"/>
      <c r="E52" s="141"/>
      <c r="F52" s="142"/>
      <c r="G52" s="76">
        <f>(G43+G44-G45)*(1+'Fane 15. Nøgletal'!C15)</f>
        <v>52007758.400467083</v>
      </c>
      <c r="H52" s="14" t="s">
        <v>3</v>
      </c>
      <c r="I52" s="1"/>
    </row>
    <row r="53" spans="1:9" x14ac:dyDescent="0.25">
      <c r="A53" s="1"/>
      <c r="B53" s="140" t="s">
        <v>138</v>
      </c>
      <c r="C53" s="141"/>
      <c r="D53" s="141"/>
      <c r="E53" s="141"/>
      <c r="F53" s="142"/>
      <c r="G53" s="76">
        <f>(G52)*'Fane 15. Nøgletal'!C31</f>
        <v>1040155.1680093417</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52782049.907533243</v>
      </c>
      <c r="H57" s="14" t="s">
        <v>3</v>
      </c>
      <c r="I57" s="1"/>
    </row>
    <row r="58" spans="1:9" x14ac:dyDescent="0.25">
      <c r="A58" s="1"/>
      <c r="B58" s="91" t="s">
        <v>152</v>
      </c>
      <c r="C58" s="92"/>
      <c r="D58" s="92"/>
      <c r="E58" s="92"/>
      <c r="F58" s="93"/>
      <c r="G58" s="76">
        <f>(G57)*'Fane 15. Nøgletal'!C31</f>
        <v>1055640.9981506648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53567869.066556603</v>
      </c>
      <c r="H62" s="14" t="s">
        <v>3</v>
      </c>
      <c r="I62" s="1"/>
    </row>
    <row r="63" spans="1:9" x14ac:dyDescent="0.25">
      <c r="A63" s="1"/>
      <c r="B63" s="91" t="s">
        <v>195</v>
      </c>
      <c r="C63" s="92"/>
      <c r="D63" s="92"/>
      <c r="E63" s="92"/>
      <c r="F63" s="93"/>
      <c r="G63" s="76">
        <f>(G62)*'Fane 15. Nøgletal'!C31</f>
        <v>1071357.381331132</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YwyS/g3yIuyfajpCygD5aW5AoKG5vvY30xY3oI3t/0kdQN6XuvJR8IwD/yfbJqY/yWZKxY8ARQ1ndftFMjyHug==" saltValue="xj5BPrATiJxlGcyLYtuwj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8.1406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78155295.598171026</v>
      </c>
      <c r="H5" s="14" t="s">
        <v>3</v>
      </c>
      <c r="I5" s="1"/>
    </row>
    <row r="6" spans="1:9" x14ac:dyDescent="0.25">
      <c r="A6" s="1"/>
      <c r="B6" s="140" t="s">
        <v>57</v>
      </c>
      <c r="C6" s="141"/>
      <c r="D6" s="141"/>
      <c r="E6" s="141"/>
      <c r="F6" s="142"/>
      <c r="G6" s="76">
        <f>G5*'Fane 15. Nøgletal'!C20</f>
        <v>711213.18994335632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78799353.850371659</v>
      </c>
      <c r="H10" s="14" t="s">
        <v>3</v>
      </c>
      <c r="I10" s="1"/>
    </row>
    <row r="11" spans="1:9" x14ac:dyDescent="0.25">
      <c r="A11" s="1"/>
      <c r="B11" s="140" t="s">
        <v>122</v>
      </c>
      <c r="C11" s="141"/>
      <c r="D11" s="141"/>
      <c r="E11" s="141"/>
      <c r="F11" s="142"/>
      <c r="G11" s="76">
        <v>38297.909850191325</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1395426.4361559269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78797464.267237082</v>
      </c>
      <c r="H17" s="14" t="s">
        <v>3</v>
      </c>
      <c r="I17" s="1"/>
    </row>
    <row r="18" spans="1:9" x14ac:dyDescent="0.25">
      <c r="A18" s="1"/>
      <c r="B18" s="147" t="s">
        <v>68</v>
      </c>
      <c r="C18" s="148"/>
      <c r="D18" s="148"/>
      <c r="E18" s="148"/>
      <c r="F18" s="149"/>
      <c r="G18" s="76">
        <v>7591.2224630099981</v>
      </c>
      <c r="H18" s="14" t="s">
        <v>3</v>
      </c>
      <c r="I18" s="1"/>
    </row>
    <row r="19" spans="1:9" x14ac:dyDescent="0.25">
      <c r="A19" s="1"/>
      <c r="B19" s="140" t="s">
        <v>69</v>
      </c>
      <c r="C19" s="141"/>
      <c r="D19" s="141"/>
      <c r="E19" s="141"/>
      <c r="F19" s="142"/>
      <c r="G19" s="76">
        <f>G17*'Fane 15. Nøgletal'!C21+G18*'Fane 15. Nøgletal'!C22</f>
        <v>1394781.1611655245</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78935256.732806712</v>
      </c>
      <c r="H23" s="14" t="s">
        <v>3</v>
      </c>
      <c r="I23" s="1"/>
    </row>
    <row r="24" spans="1:9" x14ac:dyDescent="0.25">
      <c r="A24" s="1"/>
      <c r="B24" s="147" t="s">
        <v>72</v>
      </c>
      <c r="C24" s="148"/>
      <c r="D24" s="148"/>
      <c r="E24" s="148"/>
      <c r="F24" s="149"/>
      <c r="G24" s="76">
        <v>2091595.0870663498</v>
      </c>
      <c r="H24" s="14" t="s">
        <v>3</v>
      </c>
      <c r="I24" s="1"/>
    </row>
    <row r="25" spans="1:9" x14ac:dyDescent="0.25">
      <c r="A25" s="1"/>
      <c r="B25" s="140" t="s">
        <v>73</v>
      </c>
      <c r="C25" s="141"/>
      <c r="D25" s="141"/>
      <c r="E25" s="141"/>
      <c r="F25" s="142"/>
      <c r="G25" s="76">
        <f>(G23+G24)*'Fane 15. Nøgletal'!C23</f>
        <v>2301162.591684395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80276585.30598399</v>
      </c>
      <c r="H29" s="14" t="s">
        <v>3</v>
      </c>
      <c r="I29" s="1"/>
    </row>
    <row r="30" spans="1:9" x14ac:dyDescent="0.25">
      <c r="A30" s="1"/>
      <c r="B30" s="140" t="s">
        <v>139</v>
      </c>
      <c r="C30" s="141"/>
      <c r="D30" s="141"/>
      <c r="E30" s="141"/>
      <c r="F30" s="142"/>
      <c r="G30" s="76">
        <v>16580.273877719999</v>
      </c>
      <c r="H30" s="14" t="s">
        <v>3</v>
      </c>
      <c r="I30" s="1"/>
    </row>
    <row r="31" spans="1:9" x14ac:dyDescent="0.25">
      <c r="A31" s="1"/>
      <c r="B31" s="140" t="s">
        <v>76</v>
      </c>
      <c r="C31" s="141"/>
      <c r="D31" s="141"/>
      <c r="E31" s="141"/>
      <c r="F31" s="142"/>
      <c r="G31" s="76">
        <f>G29*'Fane 15. Nøgletal'!C23+G30*'Fane 15. Nøgletal'!C24</f>
        <v>2280310.980221583</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78270297.019818947</v>
      </c>
      <c r="H35" s="14" t="s">
        <v>3</v>
      </c>
      <c r="I35" s="1"/>
    </row>
    <row r="36" spans="1:9" x14ac:dyDescent="0.25">
      <c r="A36" s="1"/>
      <c r="B36" s="140" t="s">
        <v>167</v>
      </c>
      <c r="C36" s="141"/>
      <c r="D36" s="141"/>
      <c r="E36" s="141"/>
      <c r="F36" s="142"/>
      <c r="G36" s="76">
        <v>541462.03739634017</v>
      </c>
      <c r="H36" s="14" t="s">
        <v>3</v>
      </c>
      <c r="I36" s="1"/>
    </row>
    <row r="37" spans="1:9" x14ac:dyDescent="0.25">
      <c r="A37" s="1"/>
      <c r="B37" s="140" t="s">
        <v>166</v>
      </c>
      <c r="C37" s="141"/>
      <c r="D37" s="141"/>
      <c r="E37" s="141"/>
      <c r="F37" s="142"/>
      <c r="G37" s="76">
        <f>(G35+G36)*'Fane 15. Nøgletal'!C25</f>
        <v>1166414.0340467864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222</v>
      </c>
      <c r="C40" s="136"/>
      <c r="D40" s="136"/>
      <c r="E40" s="136"/>
      <c r="F40" s="136"/>
      <c r="G40" s="143"/>
      <c r="H40" s="137"/>
      <c r="I40" s="1"/>
    </row>
    <row r="41" spans="1:9" x14ac:dyDescent="0.25">
      <c r="A41" s="1"/>
      <c r="B41" s="140" t="s">
        <v>77</v>
      </c>
      <c r="C41" s="141"/>
      <c r="D41" s="141"/>
      <c r="E41" s="141"/>
      <c r="F41" s="142"/>
      <c r="G41" s="76">
        <f>(G35+G36-G37)*(1+'Fane 15. Nøgletal'!C14)</f>
        <v>77901574.661744967</v>
      </c>
      <c r="H41" s="14" t="s">
        <v>3</v>
      </c>
      <c r="I41" s="1"/>
    </row>
    <row r="42" spans="1:9" x14ac:dyDescent="0.25">
      <c r="A42" s="1"/>
      <c r="B42" s="43" t="s">
        <v>230</v>
      </c>
      <c r="C42" s="92"/>
      <c r="D42" s="92"/>
      <c r="E42" s="92"/>
      <c r="F42" s="93"/>
      <c r="G42" s="80">
        <f>('Fane 2.1. Økonomisk ramme 2023'!C11+'Fane 2.1. Økonomisk ramme 2023'!C13+'Fane 2.1. Økonomisk ramme 2023'!C15)*(1+'Fane 15. Nøgletal'!C15)</f>
        <v>1574184.7504857604</v>
      </c>
      <c r="H42" s="14" t="s">
        <v>3</v>
      </c>
      <c r="I42" s="1"/>
    </row>
    <row r="43" spans="1:9" x14ac:dyDescent="0.25">
      <c r="A43" s="1"/>
      <c r="B43" s="140" t="s">
        <v>168</v>
      </c>
      <c r="C43" s="141"/>
      <c r="D43" s="141"/>
      <c r="E43" s="141"/>
      <c r="F43" s="142"/>
      <c r="G43" s="76">
        <f>(G41)*'Fane 15. Nøgletal'!C25+G42*'Fane 15. Nøgletal'!C26</f>
        <v>1152943.3049938255</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243</v>
      </c>
      <c r="C52" s="136"/>
      <c r="D52" s="136"/>
      <c r="E52" s="136"/>
      <c r="F52" s="136"/>
      <c r="G52" s="143"/>
      <c r="H52" s="137"/>
      <c r="I52" s="1"/>
    </row>
    <row r="53" spans="1:9" x14ac:dyDescent="0.25">
      <c r="A53" s="1"/>
      <c r="B53" s="140" t="s">
        <v>140</v>
      </c>
      <c r="C53" s="141"/>
      <c r="D53" s="141"/>
      <c r="E53" s="141"/>
      <c r="F53" s="142"/>
      <c r="G53" s="76">
        <f>(G41+G42-G43)*(1+'Fane 15. Nøgletal'!C15)</f>
        <v>81111108.360654548</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83998663.818293855</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86989016.250225127</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OQlywYgYWF15aGm5xI9N+adZyMO8M39Xqz0KyA9/jo7ubtZtvyT6TniYdptyh9G8HmeZl/mZDIyVvWqGyvxndg==" saltValue="HzvO2giX54KdMLS8w+nZC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1.0008155929838641E-2</v>
      </c>
      <c r="H9" s="1"/>
    </row>
    <row r="10" spans="1:8" x14ac:dyDescent="0.25">
      <c r="A10" s="1"/>
      <c r="B10" s="32"/>
      <c r="C10" s="27"/>
      <c r="D10" s="27"/>
      <c r="E10" s="27"/>
      <c r="F10" s="27"/>
      <c r="G10" s="19"/>
      <c r="H10" s="1"/>
    </row>
    <row r="11" spans="1:8" ht="29.25" customHeight="1" x14ac:dyDescent="0.25">
      <c r="A11" s="1"/>
      <c r="B11" s="152" t="s">
        <v>237</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eOFAMDn2pK7PJVTvVQYpG0Vak6FOe1avYAo/VI4K4vkeGGzp7tzmdy4tmKmb9+4sA4TUyVx+pjbKjP8Tq+yZeQ==" saltValue="JiZJULoyG4twygxX6hvjJ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2022-12-01T08:37:03Z</dcterms:modified>
</cp:coreProperties>
</file>