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IOFOS Lynettefællesskabet AS (S008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G18" i="11" l="1"/>
  <c r="F18" i="11"/>
  <c r="E14" i="11"/>
  <c r="E12" i="11"/>
  <c r="E16" i="11"/>
  <c r="E15" i="11"/>
  <c r="E10" i="11" l="1"/>
  <c r="E18" i="11" s="1"/>
  <c r="E28" i="20" l="1"/>
  <c r="E22" i="20"/>
  <c r="E16" i="20"/>
  <c r="E10" i="20"/>
  <c r="E13" i="11" l="1"/>
  <c r="E17" i="1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C10" i="37"/>
  <c r="C11" i="37" s="1"/>
  <c r="C12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0" i="37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<sst xmlns="http://schemas.openxmlformats.org/spreadsheetml/2006/main" count="719" uniqueCount="293">
  <si>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</si>
  <si>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</si>
  <si>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</si>
  <si>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</si>
  <si>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</si>
  <si>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</si>
  <si>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</si>
  <si>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</si>
  <si>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</si>
  <si>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</si>
  <si>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</si>
  <si>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</si>
  <si>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</si>
  <si>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</si>
  <si>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</si>
  <si>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</si>
  <si>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</si>
  <si>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</si>
  <si>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</si>
  <si>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</si>
  <si>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</si>
  <si>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</si>
  <si>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</si>
  <si>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</si>
  <si>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</si>
  <si>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</si>
  <si>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</si>
  <si>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</si>
  <si>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</si>
  <si>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</si>
  <si>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</si>
  <si>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</si>
  <si>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</si>
  <si>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</si>
  <si>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</si>
  <si>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</si>
  <si>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</si>
  <si>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</si>
  <si>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</si>
  <si>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</si>
  <si>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</si>
  <si>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</si>
  <si>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</si>
  <si>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</si>
  <si>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</si>
  <si>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</si>
  <si>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</si>
  <si>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</si>
  <si>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</si>
  <si>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</si>
  <si>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</si>
  <si>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</si>
  <si>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</si>
  <si>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</si>
  <si>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</si>
  <si>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</si>
  <si>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</si>
  <si>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</si>
  <si>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</si>
  <si>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</si>
  <si>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</si>
  <si>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</si>
  <si>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</si>
  <si>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</si>
  <si>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</si>
  <si>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</si>
  <si>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</si>
  <si>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</si>
  <si>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</si>
  <si>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</si>
  <si>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</si>
  <si>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</si>
  <si>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</si>
  <si>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</si>
  <si>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</si>
  <si>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</si>
  <si>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</si>
  <si>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</si>
  <si>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</si>
  <si>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</si>
  <si>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</si>
  <si>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</si>
  <si>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</si>
  <si>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</si>
  <si>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</si>
  <si>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</si>
  <si>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</si>
  <si>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</si>
  <si>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</si>
  <si>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</si>
  <si>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</si>
  <si>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</si>
  <si>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</si>
  <si>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</si>
  <si>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</si>
  <si>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</si>
  <si>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</si>
  <si>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</si>
  <si>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</si>
  <si>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</si>
  <si>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</si>
  <si>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</si>
  <si>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</si>
  <si>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</si>
  <si>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</si>
  <si>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</si>
  <si>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</si>
  <si>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</si>
  <si>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</si>
  <si>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</si>
  <si>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</si>
  <si>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</si>
  <si>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</si>
  <si>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</si>
  <si>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</si>
  <si>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</si>
  <si>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</si>
  <si>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</si>
  <si>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</si>
  <si>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</si>
  <si>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</si>
  <si>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</si>
  <si>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</si>
  <si>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</si>
  <si>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</si>
  <si>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</si>
  <si>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</si>
  <si>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</si>
  <si>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</si>
  <si>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</si>
  <si>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</si>
  <si>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</si>
  <si>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</si>
  <si>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</si>
  <si>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</si>
  <si>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</si>
  <si>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</si>
  <si>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</si>
  <si>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</si>
  <si>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</si>
  <si>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</si>
  <si>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</si>
  <si>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</si>
  <si>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</si>
  <si>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</si>
  <si>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</si>
  <si>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</si>
  <si>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</si>
  <si>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</si>
  <si>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</si>
  <si>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</si>
  <si>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</si>
  <si>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</si>
  <si>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</si>
  <si>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</si>
  <si>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</si>
  <si>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</si>
  <si>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</si>
  <si>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</si>
  <si>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</si>
  <si>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</si>
  <si>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</si>
  <si>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</si>
  <si>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</si>
  <si>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</si>
  <si>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</si>
  <si>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</si>
  <si>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</si>
  <si>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</si>
  <si>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</si>
  <si>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</si>
  <si>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</si>
  <si>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</si>
  <si>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</si>
  <si>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</si>
  <si>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</si>
  <si>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</si>
  <si>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</si>
  <si>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</si>
  <si>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</si>
  <si>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</si>
  <si>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</si>
  <si>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</si>
  <si>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</si>
  <si>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</si>
  <si>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</si>
  <si>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</si>
  <si>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</si>
  <si>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</si>
  <si>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</si>
  <si>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</si>
  <si>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</si>
  <si>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</si>
  <si>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</si>
  <si>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</si>
  <si>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</si>
  <si>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</si>
  <si>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</si>
  <si>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</si>
  <si>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</si>
  <si>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</si>
  <si>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</si>
  <si>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</si>
  <si>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</si>
  <si>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</si>
  <si>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</si>
  <si>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</si>
  <si>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</si>
  <si>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</si>
  <si>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</si>
  <si>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</si>
  <si>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</si>
  <si>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</si>
  <si>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</si>
  <si>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</si>
  <si>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</si>
  <si>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</si>
  <si>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</si>
  <si>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</si>
  <si>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</si>
  <si>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</si>
  <si>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</si>
  <si>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</si>
  <si>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</si>
  <si>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</si>
  <si>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</si>
  <si>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</si>
  <si>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</si>
  <si>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</si>
  <si>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</si>
  <si>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</si>
  <si>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</si>
  <si>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</si>
  <si>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</si>
  <si>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</si>
  <si>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</si>
  <si>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</si>
  <si>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</si>
  <si>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</si>
  <si>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</si>
  <si>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</si>
  <si>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</si>
  <si>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</si>
  <si>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</si>
  <si>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</si>
  <si>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</si>
  <si>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</si>
  <si>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</si>
  <si>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</si>
  <si>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</si>
  <si>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</si>
  <si>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</si>
  <si>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</si>
  <si>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</si>
  <si>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</si>
  <si>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</si>
  <si>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</si>
  <si>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</si>
  <si>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</si>
  <si>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</si>
  <si>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</si>
  <si>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Sand- og fedtfang, Mek/EL</t>
  </si>
  <si>
    <t>Sand- og fedtfang, SRO</t>
  </si>
  <si>
    <t>Sand- og fedtfang, Kontruktioner</t>
  </si>
  <si>
    <t>Centralisering af riste</t>
  </si>
  <si>
    <t>Slamspejlsmåler</t>
  </si>
  <si>
    <t>Rådnetanke, slam, Konstruktioner</t>
  </si>
  <si>
    <t>Rådnetanke, slam, SRO</t>
  </si>
  <si>
    <t>Rådnetanke, slam, Mek/EL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</si>
  <si>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</si>
  <si>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</si>
  <si>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</si>
  <si>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</si>
  <si>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</si>
  <si>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</si>
  <si>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</si>
  <si>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</si>
  <si>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</si>
  <si>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</si>
  <si>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</si>
  <si>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</si>
  <si>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</si>
  <si>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</si>
  <si>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</si>
  <si>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</si>
  <si>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</si>
  <si>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</si>
  <si>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</si>
  <si>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Øvrige afgifter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</si>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</sst>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1" fontId="8" fillId="0" borderId="1" xfId="0" quotePrefix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82" t="s">
        <v>291</v>
      </c>
      <c r="E8" s="82"/>
      <c r="F8" s="82"/>
      <c r="G8" s="8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1" t="s">
        <v>5</v>
      </c>
      <c r="E11" s="81"/>
      <c r="F11" s="81"/>
      <c r="G11" s="8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245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17</v>
      </c>
      <c r="D14" s="71" t="s">
        <v>246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37</v>
      </c>
      <c r="D15" s="71" t="s">
        <v>160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38</v>
      </c>
      <c r="D16" s="71" t="s">
        <v>247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144</v>
      </c>
      <c r="D17" s="71" t="s">
        <v>248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124</v>
      </c>
      <c r="D18" s="83" t="s">
        <v>110</v>
      </c>
      <c r="E18" s="84"/>
      <c r="F18" s="84"/>
      <c r="G18" s="85"/>
      <c r="H18" s="1"/>
      <c r="I18" s="1"/>
    </row>
    <row r="19" spans="1:9" x14ac:dyDescent="0.25">
      <c r="A19" s="1"/>
      <c r="B19" s="1"/>
      <c r="C19" s="6" t="s">
        <v>125</v>
      </c>
      <c r="D19" s="83" t="s">
        <v>111</v>
      </c>
      <c r="E19" s="84"/>
      <c r="F19" s="84"/>
      <c r="G19" s="85"/>
      <c r="H19" s="1"/>
      <c r="I19" s="1"/>
    </row>
    <row r="20" spans="1:9" x14ac:dyDescent="0.25">
      <c r="A20" s="1"/>
      <c r="B20" s="1"/>
      <c r="C20" s="6" t="s">
        <v>7</v>
      </c>
      <c r="D20" s="83" t="s">
        <v>10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126</v>
      </c>
      <c r="D21" s="75" t="s">
        <v>13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91</v>
      </c>
      <c r="D22" s="78" t="s">
        <v>249</v>
      </c>
      <c r="E22" s="79"/>
      <c r="F22" s="79"/>
      <c r="G22" s="80"/>
      <c r="H22" s="1"/>
      <c r="I22" s="1"/>
    </row>
    <row r="23" spans="1:9" x14ac:dyDescent="0.25">
      <c r="A23" s="1"/>
      <c r="B23" s="1"/>
      <c r="C23" s="6" t="s">
        <v>8</v>
      </c>
      <c r="D23" s="78" t="s">
        <v>195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9</v>
      </c>
      <c r="D24" s="78" t="s">
        <v>39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127</v>
      </c>
      <c r="D25" s="78" t="s">
        <v>92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128</v>
      </c>
      <c r="D26" s="78" t="s">
        <v>93</v>
      </c>
      <c r="E26" s="79"/>
      <c r="F26" s="79"/>
      <c r="G26" s="80"/>
      <c r="H26" s="1"/>
      <c r="I26" s="1"/>
    </row>
    <row r="27" spans="1:9" x14ac:dyDescent="0.25">
      <c r="A27" s="1"/>
      <c r="B27" s="1"/>
      <c r="C27" s="6" t="s">
        <v>129</v>
      </c>
      <c r="D27" s="78" t="s">
        <v>94</v>
      </c>
      <c r="E27" s="79"/>
      <c r="F27" s="79"/>
      <c r="G27" s="80"/>
      <c r="H27" s="1"/>
      <c r="I27" s="1"/>
    </row>
    <row r="28" spans="1:9" x14ac:dyDescent="0.25">
      <c r="A28" s="1"/>
      <c r="B28" s="1"/>
      <c r="C28" s="6" t="s">
        <v>16</v>
      </c>
      <c r="D28" s="78" t="s">
        <v>161</v>
      </c>
      <c r="E28" s="79"/>
      <c r="F28" s="79"/>
      <c r="G28" s="80"/>
      <c r="H28" s="1"/>
      <c r="I28" s="1"/>
    </row>
    <row r="29" spans="1:9" x14ac:dyDescent="0.25">
      <c r="A29" s="1"/>
      <c r="B29" s="1"/>
      <c r="C29" s="6" t="s">
        <v>41</v>
      </c>
      <c r="D29" s="78" t="s">
        <v>40</v>
      </c>
      <c r="E29" s="79"/>
      <c r="F29" s="79"/>
      <c r="G29" s="80"/>
      <c r="H29" s="1"/>
      <c r="I29" s="1"/>
    </row>
    <row r="30" spans="1:9" x14ac:dyDescent="0.25">
      <c r="A30" s="1"/>
      <c r="B30" s="1"/>
      <c r="C30" s="6" t="s">
        <v>42</v>
      </c>
      <c r="D30" s="86" t="s">
        <v>123</v>
      </c>
      <c r="E30" s="87"/>
      <c r="F30" s="87"/>
      <c r="G30" s="8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3P1rdi13+Z6L38kCyt69SFGRxvAGl+SQNL0K6HRkDyOfnZzXOrIZGb3PZen6Akc64wIeTqq+jvQZWiAzBVkhQ==" saltValue="SnM65BZXLP0UY6+AElpgy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132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208</v>
      </c>
      <c r="C8" s="98"/>
      <c r="D8" s="99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7" t="s">
        <v>270</v>
      </c>
      <c r="C10" s="9">
        <v>24126280</v>
      </c>
      <c r="D10" s="14" t="s">
        <v>3</v>
      </c>
      <c r="E10" s="1"/>
      <c r="F10" s="1"/>
    </row>
    <row r="11" spans="1:6" ht="15" customHeight="1" x14ac:dyDescent="0.25">
      <c r="A11" s="1"/>
      <c r="B11" s="67" t="s">
        <v>271</v>
      </c>
      <c r="C11" s="9">
        <v>1016108</v>
      </c>
      <c r="D11" s="14" t="s">
        <v>3</v>
      </c>
      <c r="E11" s="1"/>
      <c r="F11" s="1"/>
    </row>
    <row r="12" spans="1:6" x14ac:dyDescent="0.25">
      <c r="A12" s="1"/>
      <c r="B12" s="67" t="s">
        <v>272</v>
      </c>
      <c r="C12" s="9">
        <v>1515347.18</v>
      </c>
      <c r="D12" s="14" t="s">
        <v>3</v>
      </c>
      <c r="E12" s="1"/>
      <c r="F12" s="1"/>
    </row>
    <row r="13" spans="1:6" x14ac:dyDescent="0.25">
      <c r="A13" s="1"/>
      <c r="B13" s="67" t="s">
        <v>273</v>
      </c>
      <c r="C13" s="9">
        <v>5436206.79</v>
      </c>
      <c r="D13" s="14" t="s">
        <v>3</v>
      </c>
      <c r="E13" s="1"/>
      <c r="F13" s="1"/>
    </row>
    <row r="14" spans="1:6" x14ac:dyDescent="0.25">
      <c r="A14" s="1"/>
      <c r="B14" s="67" t="s">
        <v>288</v>
      </c>
      <c r="C14" s="9">
        <v>8497037.1400000006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40590979.109999999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40859321.607888512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7" t="s">
        <v>142</v>
      </c>
      <c r="C19" s="98"/>
      <c r="D19" s="99"/>
      <c r="E19" s="1"/>
      <c r="F19" s="1"/>
    </row>
    <row r="20" spans="1:6" x14ac:dyDescent="0.25">
      <c r="A20" s="1"/>
      <c r="B20" s="67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7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7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7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7"/>
      <c r="C24" s="98"/>
      <c r="D24" s="99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7" t="s">
        <v>115</v>
      </c>
      <c r="C27" s="98"/>
      <c r="D27" s="99"/>
      <c r="E27" s="1"/>
      <c r="F27" s="1"/>
    </row>
    <row r="28" spans="1:6" x14ac:dyDescent="0.25">
      <c r="A28" s="1"/>
      <c r="B28" s="67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7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7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7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7"/>
      <c r="C32" s="98"/>
      <c r="D32" s="99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XVlcvZLUkQCebO3ipSS5WwVDf7AMN7Ieo5BE9dgfbkh+kwvlKQKrChfG2etk2/F8u4tRiv9doRvIdWIuJQZO6A==" saltValue="5LkU1zwR7mfAzKMN8tuRv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10.85546875" style="2" bestFit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ht="29.25" customHeight="1" x14ac:dyDescent="0.25">
      <c r="A3" s="1"/>
      <c r="B3" s="105" t="s">
        <v>212</v>
      </c>
      <c r="C3" s="105"/>
      <c r="D3" s="105"/>
      <c r="E3" s="105"/>
      <c r="F3" s="105"/>
      <c r="G3" s="1"/>
    </row>
    <row r="4" spans="1:8" ht="15" customHeight="1" x14ac:dyDescent="0.25">
      <c r="A4" s="1"/>
      <c r="B4" s="105"/>
      <c r="C4" s="105"/>
      <c r="D4" s="105"/>
      <c r="E4" s="105"/>
      <c r="F4" s="105"/>
      <c r="G4" s="1"/>
    </row>
    <row r="5" spans="1:8" ht="15" customHeight="1" x14ac:dyDescent="0.25">
      <c r="A5" s="1"/>
      <c r="B5" s="55"/>
      <c r="C5" s="55"/>
      <c r="D5" s="55"/>
      <c r="E5" s="55"/>
      <c r="F5" s="55"/>
      <c r="G5" s="1"/>
    </row>
    <row r="6" spans="1:8" ht="15" customHeight="1" x14ac:dyDescent="0.25">
      <c r="A6" s="1"/>
      <c r="B6" s="55"/>
      <c r="C6" s="55"/>
      <c r="D6" s="55"/>
      <c r="E6" s="55"/>
      <c r="F6" s="55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x14ac:dyDescent="0.25">
      <c r="A8" s="1"/>
      <c r="B8" s="97" t="s">
        <v>275</v>
      </c>
      <c r="C8" s="98"/>
      <c r="D8" s="98"/>
      <c r="E8" s="98"/>
      <c r="F8" s="99"/>
      <c r="G8" s="1"/>
    </row>
    <row r="9" spans="1:8" x14ac:dyDescent="0.25">
      <c r="A9" s="1"/>
      <c r="B9" s="106" t="s">
        <v>276</v>
      </c>
      <c r="C9" s="107"/>
      <c r="D9" s="108"/>
      <c r="E9" s="9">
        <v>-18747855.470099032</v>
      </c>
      <c r="F9" s="14" t="s">
        <v>3</v>
      </c>
      <c r="G9" s="1"/>
    </row>
    <row r="10" spans="1:8" x14ac:dyDescent="0.25">
      <c r="A10" s="1"/>
      <c r="B10" s="106" t="s">
        <v>277</v>
      </c>
      <c r="C10" s="107"/>
      <c r="D10" s="108"/>
      <c r="E10" s="9">
        <v>-38187881.549466491</v>
      </c>
      <c r="F10" s="14" t="s">
        <v>3</v>
      </c>
      <c r="G10" s="1"/>
    </row>
    <row r="11" spans="1:8" x14ac:dyDescent="0.25">
      <c r="A11" s="1"/>
      <c r="B11" s="106" t="s">
        <v>278</v>
      </c>
      <c r="C11" s="107"/>
      <c r="D11" s="108"/>
      <c r="E11" s="9">
        <v>-38187881.549466491</v>
      </c>
      <c r="F11" s="14" t="s">
        <v>3</v>
      </c>
      <c r="G11" s="1"/>
      <c r="H11" s="49"/>
    </row>
    <row r="12" spans="1:8" x14ac:dyDescent="0.25">
      <c r="A12" s="1"/>
      <c r="B12" s="106" t="s">
        <v>279</v>
      </c>
      <c r="C12" s="107"/>
      <c r="D12" s="108"/>
      <c r="E12" s="9">
        <v>29709700.791059315</v>
      </c>
      <c r="F12" s="14" t="s">
        <v>3</v>
      </c>
      <c r="G12" s="1"/>
    </row>
    <row r="13" spans="1:8" x14ac:dyDescent="0.25">
      <c r="A13" s="1"/>
      <c r="B13" s="38"/>
      <c r="C13" s="32"/>
      <c r="D13" s="32"/>
      <c r="E13" s="32"/>
      <c r="F13" s="20"/>
      <c r="G13" s="1"/>
    </row>
    <row r="14" spans="1:8" ht="51.75" customHeight="1" x14ac:dyDescent="0.25">
      <c r="A14" s="1"/>
      <c r="B14" s="100" t="s">
        <v>280</v>
      </c>
      <c r="C14" s="101"/>
      <c r="D14" s="101"/>
      <c r="E14" s="101"/>
      <c r="F14" s="102"/>
      <c r="G14" s="1"/>
    </row>
    <row r="15" spans="1:8" ht="27" customHeight="1" x14ac:dyDescent="0.25">
      <c r="A15" s="1"/>
      <c r="B15" s="1"/>
      <c r="C15" s="1"/>
      <c r="D15" s="1"/>
      <c r="E15" s="1"/>
      <c r="F15" s="1"/>
      <c r="G15" s="1"/>
    </row>
    <row r="16" spans="1:8" x14ac:dyDescent="0.25">
      <c r="A16" s="1"/>
      <c r="B16" s="97" t="s">
        <v>281</v>
      </c>
      <c r="C16" s="98"/>
      <c r="D16" s="98"/>
      <c r="E16" s="98"/>
      <c r="F16" s="99"/>
      <c r="G16" s="1"/>
    </row>
    <row r="17" spans="1:7" x14ac:dyDescent="0.25">
      <c r="A17" s="1"/>
      <c r="B17" s="106" t="s">
        <v>282</v>
      </c>
      <c r="C17" s="107"/>
      <c r="D17" s="108"/>
      <c r="E17" s="9">
        <v>0</v>
      </c>
      <c r="F17" s="14" t="s">
        <v>3</v>
      </c>
      <c r="G17" s="1"/>
    </row>
    <row r="18" spans="1:7" x14ac:dyDescent="0.25">
      <c r="A18" s="1"/>
      <c r="B18" s="106" t="s">
        <v>283</v>
      </c>
      <c r="C18" s="107"/>
      <c r="D18" s="108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100" t="s">
        <v>284</v>
      </c>
      <c r="C20" s="101"/>
      <c r="D20" s="101"/>
      <c r="E20" s="101"/>
      <c r="F20" s="10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213</v>
      </c>
      <c r="C22" s="60"/>
      <c r="D22" s="60"/>
      <c r="E22" s="60"/>
      <c r="F22" s="61"/>
      <c r="G22" s="1"/>
    </row>
    <row r="23" spans="1:7" x14ac:dyDescent="0.25">
      <c r="A23" s="1"/>
      <c r="B23" s="64" t="s">
        <v>214</v>
      </c>
      <c r="C23" s="65"/>
      <c r="D23" s="66"/>
      <c r="E23" s="9">
        <v>342130961.63378942</v>
      </c>
      <c r="F23" s="14" t="s">
        <v>3</v>
      </c>
      <c r="G23" s="1"/>
    </row>
    <row r="24" spans="1:7" x14ac:dyDescent="0.25">
      <c r="A24" s="1"/>
      <c r="B24" s="64" t="s">
        <v>215</v>
      </c>
      <c r="C24" s="65"/>
      <c r="D24" s="66"/>
      <c r="E24" s="9">
        <v>361771119.01999998</v>
      </c>
      <c r="F24" s="14" t="s">
        <v>3</v>
      </c>
      <c r="G24" s="1"/>
    </row>
    <row r="25" spans="1:7" x14ac:dyDescent="0.25">
      <c r="A25" s="1"/>
      <c r="B25" s="64" t="s">
        <v>36</v>
      </c>
      <c r="C25" s="65"/>
      <c r="D25" s="66"/>
      <c r="E25" s="9">
        <v>0</v>
      </c>
      <c r="F25" s="14" t="s">
        <v>3</v>
      </c>
      <c r="G25" s="1"/>
    </row>
    <row r="26" spans="1:7" x14ac:dyDescent="0.25">
      <c r="A26" s="1"/>
      <c r="B26" s="62" t="s">
        <v>285</v>
      </c>
      <c r="C26" s="63"/>
      <c r="D26" s="69"/>
      <c r="E26" s="48">
        <f>E23-(E24-E25)</f>
        <v>-19640157.386210561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7" t="s">
        <v>186</v>
      </c>
      <c r="C30" s="98"/>
      <c r="D30" s="98"/>
      <c r="E30" s="98"/>
      <c r="F30" s="99"/>
      <c r="G30" s="1"/>
    </row>
    <row r="31" spans="1:7" x14ac:dyDescent="0.25">
      <c r="A31" s="1"/>
      <c r="B31" s="118" t="s">
        <v>290</v>
      </c>
      <c r="C31" s="119"/>
      <c r="D31" s="120"/>
      <c r="E31" s="9">
        <v>0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-19640157.386210561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21" t="s">
        <v>188</v>
      </c>
      <c r="C34" s="121"/>
      <c r="D34" s="121"/>
      <c r="E34" s="10">
        <f>E32/E33</f>
        <v>-9820078.6931052804</v>
      </c>
      <c r="F34" s="17" t="s">
        <v>3</v>
      </c>
      <c r="G34" s="1"/>
    </row>
    <row r="35" spans="1:7" x14ac:dyDescent="0.25">
      <c r="A35" s="1"/>
      <c r="B35" s="122"/>
      <c r="C35" s="123"/>
      <c r="D35" s="123"/>
      <c r="E35" s="123"/>
      <c r="F35" s="124"/>
      <c r="G35" s="1"/>
    </row>
    <row r="36" spans="1:7" ht="75" customHeight="1" x14ac:dyDescent="0.25">
      <c r="A36" s="1"/>
      <c r="B36" s="100" t="s">
        <v>289</v>
      </c>
      <c r="C36" s="101"/>
      <c r="D36" s="101"/>
      <c r="E36" s="101"/>
      <c r="F36" s="10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m4HYP2wObkHwBZkUjthTOLAXIql6ZVRe/WzzqvtggQR83XzHSnsU9fjVshHoiZsoVu3wsVT4db2hbdB7ZZaX/g==" saltValue="uFl/0lE27B9fq59LfcEL4A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5" t="s">
        <v>216</v>
      </c>
      <c r="C3" s="105"/>
      <c r="D3" s="105"/>
      <c r="E3" s="105"/>
      <c r="F3" s="105"/>
      <c r="G3" s="1"/>
    </row>
    <row r="4" spans="1:7" ht="1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217</v>
      </c>
      <c r="C9" s="98"/>
      <c r="D9" s="98"/>
      <c r="E9" s="98"/>
      <c r="F9" s="99"/>
      <c r="G9" s="1"/>
    </row>
    <row r="10" spans="1:7" x14ac:dyDescent="0.25">
      <c r="A10" s="1"/>
      <c r="B10" s="100" t="s">
        <v>118</v>
      </c>
      <c r="C10" s="101"/>
      <c r="D10" s="102"/>
      <c r="E10" s="7">
        <v>0</v>
      </c>
      <c r="F10" s="8" t="s">
        <v>3</v>
      </c>
      <c r="G10" s="1"/>
    </row>
    <row r="11" spans="1:7" x14ac:dyDescent="0.25">
      <c r="A11" s="1"/>
      <c r="B11" s="106" t="s">
        <v>218</v>
      </c>
      <c r="C11" s="107"/>
      <c r="D11" s="108"/>
      <c r="E11" s="7">
        <v>0</v>
      </c>
      <c r="F11" s="8" t="s">
        <v>3</v>
      </c>
      <c r="G11" s="1"/>
    </row>
    <row r="12" spans="1:7" x14ac:dyDescent="0.25">
      <c r="A12" s="1"/>
      <c r="B12" s="103" t="s">
        <v>119</v>
      </c>
      <c r="C12" s="104"/>
      <c r="D12" s="125"/>
      <c r="E12" s="10">
        <f>E11-E10</f>
        <v>0</v>
      </c>
      <c r="F12" s="11" t="s">
        <v>3</v>
      </c>
      <c r="G12" s="1"/>
    </row>
    <row r="13" spans="1:7" x14ac:dyDescent="0.25">
      <c r="A13" s="1"/>
      <c r="B13" s="97" t="s">
        <v>109</v>
      </c>
      <c r="C13" s="98"/>
      <c r="D13" s="98"/>
      <c r="E13" s="98"/>
      <c r="F13" s="99"/>
      <c r="G13" s="1"/>
    </row>
    <row r="14" spans="1:7" x14ac:dyDescent="0.25">
      <c r="A14" s="1"/>
      <c r="B14" s="106" t="s">
        <v>219</v>
      </c>
      <c r="C14" s="107"/>
      <c r="D14" s="108"/>
      <c r="E14" s="9">
        <v>0</v>
      </c>
      <c r="F14" s="8" t="s">
        <v>3</v>
      </c>
      <c r="G14" s="1"/>
    </row>
    <row r="15" spans="1:7" x14ac:dyDescent="0.25">
      <c r="A15" s="1"/>
      <c r="B15" s="100" t="s">
        <v>220</v>
      </c>
      <c r="C15" s="101"/>
      <c r="D15" s="102"/>
      <c r="E15" s="9">
        <v>0</v>
      </c>
      <c r="F15" s="8" t="s">
        <v>3</v>
      </c>
      <c r="G15" s="1"/>
    </row>
    <row r="16" spans="1:7" x14ac:dyDescent="0.25">
      <c r="A16" s="1"/>
      <c r="B16" s="103" t="s">
        <v>119</v>
      </c>
      <c r="C16" s="104"/>
      <c r="D16" s="125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oOvwcsFcCEpL0t85Yhb4/syVHmi9IzdUtDOCNrSTZq8bWASGs3WEJvKaIeVjZVRaDhmA7Gw9+yjFLd9cMqeow==" saltValue="ZJSCew9RbSMXfppgDlMnI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177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70" t="s">
        <v>264</v>
      </c>
      <c r="C10" s="53">
        <v>0</v>
      </c>
      <c r="D10" s="9">
        <v>0</v>
      </c>
      <c r="E10" s="9">
        <f>IFERROR(D10/C10,0)</f>
        <v>0</v>
      </c>
      <c r="F10" s="9">
        <v>36053</v>
      </c>
      <c r="G10" s="9">
        <v>0</v>
      </c>
      <c r="H10" s="14" t="s">
        <v>3</v>
      </c>
      <c r="I10" s="1"/>
    </row>
    <row r="11" spans="1:9" x14ac:dyDescent="0.25">
      <c r="A11" s="1"/>
      <c r="B11" s="70" t="s">
        <v>265</v>
      </c>
      <c r="C11" s="53">
        <v>0</v>
      </c>
      <c r="D11" s="9">
        <v>0</v>
      </c>
      <c r="E11" s="9">
        <v>0</v>
      </c>
      <c r="F11" s="9">
        <v>114036</v>
      </c>
      <c r="G11" s="9">
        <v>0</v>
      </c>
      <c r="H11" s="14" t="s">
        <v>3</v>
      </c>
      <c r="I11" s="1"/>
    </row>
    <row r="12" spans="1:9" x14ac:dyDescent="0.25">
      <c r="A12" s="1"/>
      <c r="B12" s="70" t="s">
        <v>261</v>
      </c>
      <c r="C12" s="50">
        <v>20</v>
      </c>
      <c r="D12" s="9">
        <v>1774846.88</v>
      </c>
      <c r="E12" s="9">
        <f>IFERROR(D12/C12,0)</f>
        <v>88742.343999999997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70" t="s">
        <v>262</v>
      </c>
      <c r="C13" s="50">
        <v>10</v>
      </c>
      <c r="D13" s="9">
        <v>591615.63</v>
      </c>
      <c r="E13" s="9">
        <f t="shared" ref="E13:E17" si="0">IFERROR(D13/C13,0)</f>
        <v>59161.563000000002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70" t="s">
        <v>263</v>
      </c>
      <c r="C14" s="50">
        <v>60</v>
      </c>
      <c r="D14" s="9">
        <v>591615.63</v>
      </c>
      <c r="E14" s="9">
        <f t="shared" si="0"/>
        <v>9860.2605000000003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70" t="s">
        <v>266</v>
      </c>
      <c r="C15" s="50">
        <v>60</v>
      </c>
      <c r="D15" s="9">
        <v>6889930.9100000001</v>
      </c>
      <c r="E15" s="9">
        <f>IFERROR(D15/C15,0)</f>
        <v>114832.18183333334</v>
      </c>
      <c r="F15" s="9">
        <v>1092529</v>
      </c>
      <c r="G15" s="9">
        <v>0</v>
      </c>
      <c r="H15" s="14" t="s">
        <v>3</v>
      </c>
      <c r="I15" s="1"/>
    </row>
    <row r="16" spans="1:9" x14ac:dyDescent="0.25">
      <c r="A16" s="1"/>
      <c r="B16" s="70" t="s">
        <v>267</v>
      </c>
      <c r="C16" s="50">
        <v>10</v>
      </c>
      <c r="D16" s="9">
        <v>1662945.14</v>
      </c>
      <c r="E16" s="9">
        <f>IFERROR(D16/C16,0)</f>
        <v>166294.514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70" t="s">
        <v>268</v>
      </c>
      <c r="C17" s="50">
        <v>20</v>
      </c>
      <c r="D17" s="9">
        <v>5147829.8099999996</v>
      </c>
      <c r="E17" s="9">
        <f t="shared" si="0"/>
        <v>257391.49049999999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97" t="s">
        <v>179</v>
      </c>
      <c r="C18" s="98"/>
      <c r="D18" s="99"/>
      <c r="E18" s="12">
        <f>SUM(E10:E17)</f>
        <v>696282.35383333324</v>
      </c>
      <c r="F18" s="12">
        <f>SUM(F10:F17)</f>
        <v>1242618</v>
      </c>
      <c r="G18" s="12">
        <f>SUM(G10:G17)</f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Al1k4WXfPDZHz2dpN3CZbE5uMNSnudpTk3BYbaDiRCdDagp9mSWi/nJuhVUV/8bvRIHMcn9lIL6mnCA5LIwBSg==" saltValue="oqla1u63ATCaOCzc2SDYjg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135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7" t="s">
        <v>18</v>
      </c>
      <c r="C9" s="57" t="s">
        <v>12</v>
      </c>
      <c r="D9" s="58"/>
      <c r="E9" s="57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Anlægsprojekter'!F18</f>
        <v>1242618</v>
      </c>
      <c r="D10" s="14" t="s">
        <v>3</v>
      </c>
      <c r="E10" s="9">
        <f>SUM('Fane 9. Anlægsprojekter'!E18,'Fane 9. Anlægsprojekter'!G18)</f>
        <v>696282.35383333324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1242618</v>
      </c>
      <c r="D11" s="13" t="s">
        <v>3</v>
      </c>
      <c r="E11" s="12">
        <f>SUM(E10:E10)</f>
        <v>696282.35383333324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1246718.6394</v>
      </c>
      <c r="D12" s="13" t="s">
        <v>3</v>
      </c>
      <c r="E12" s="12">
        <f>E11*(1+'Fane 14. Nøgletal'!C14)</f>
        <v>698580.08560098335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UCd876+D/djuLrOcnq6OsYPkSEPD06vNF/UKGw7uQVZDfCEfCYkazvyTq7ye13BqVzrO7Yv9qrWLdXod6bb9g==" saltValue="2/rtP6bdhE5Xd3UCFC2oP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134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112</v>
      </c>
      <c r="C8" s="98"/>
      <c r="D8" s="98"/>
      <c r="E8" s="98"/>
      <c r="F8" s="99"/>
      <c r="G8" s="1"/>
    </row>
    <row r="9" spans="1:7" x14ac:dyDescent="0.25">
      <c r="A9" s="1"/>
      <c r="B9" s="57" t="s">
        <v>18</v>
      </c>
      <c r="C9" s="57" t="s">
        <v>12</v>
      </c>
      <c r="D9" s="58"/>
      <c r="E9" s="57" t="s">
        <v>34</v>
      </c>
      <c r="F9" s="37"/>
      <c r="G9" s="1"/>
    </row>
    <row r="10" spans="1:7" x14ac:dyDescent="0.25">
      <c r="A10" s="1"/>
      <c r="B10" s="25" t="s">
        <v>287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113</v>
      </c>
      <c r="C16" s="98"/>
      <c r="D16" s="98"/>
      <c r="E16" s="98"/>
      <c r="F16" s="99"/>
      <c r="G16" s="1"/>
    </row>
    <row r="17" spans="1:7" x14ac:dyDescent="0.25">
      <c r="A17" s="1"/>
      <c r="B17" s="57" t="s">
        <v>18</v>
      </c>
      <c r="C17" s="57" t="s">
        <v>12</v>
      </c>
      <c r="D17" s="58"/>
      <c r="E17" s="57" t="s">
        <v>34</v>
      </c>
      <c r="F17" s="37"/>
      <c r="G17" s="1"/>
    </row>
    <row r="18" spans="1:7" x14ac:dyDescent="0.25">
      <c r="A18" s="1"/>
      <c r="B18" s="25" t="s">
        <v>287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166</v>
      </c>
      <c r="C24" s="98"/>
      <c r="D24" s="98"/>
      <c r="E24" s="98"/>
      <c r="F24" s="99"/>
      <c r="G24" s="1"/>
    </row>
    <row r="25" spans="1:7" x14ac:dyDescent="0.25">
      <c r="A25" s="1"/>
      <c r="B25" s="57" t="s">
        <v>18</v>
      </c>
      <c r="C25" s="57" t="s">
        <v>12</v>
      </c>
      <c r="D25" s="58"/>
      <c r="E25" s="57" t="s">
        <v>34</v>
      </c>
      <c r="F25" s="37"/>
      <c r="G25" s="1"/>
    </row>
    <row r="26" spans="1:7" x14ac:dyDescent="0.25">
      <c r="A26" s="1"/>
      <c r="B26" s="25" t="s">
        <v>287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224</v>
      </c>
      <c r="C32" s="98"/>
      <c r="D32" s="98"/>
      <c r="E32" s="98"/>
      <c r="F32" s="99"/>
      <c r="G32" s="1"/>
    </row>
    <row r="33" spans="1:7" x14ac:dyDescent="0.25">
      <c r="A33" s="1"/>
      <c r="B33" s="57" t="s">
        <v>18</v>
      </c>
      <c r="C33" s="57" t="s">
        <v>12</v>
      </c>
      <c r="D33" s="58"/>
      <c r="E33" s="57" t="s">
        <v>34</v>
      </c>
      <c r="F33" s="37"/>
      <c r="G33" s="1"/>
    </row>
    <row r="34" spans="1:7" x14ac:dyDescent="0.25">
      <c r="A34" s="1"/>
      <c r="B34" s="25" t="s">
        <v>287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l65M6Q8bSM1glAaZlXwmMO4wDN6m7eG6WYYLPNqkD/3Ph02VWz+Qg9EFYOikWijyOLdzbkiTcFBAnR1QLBqEQ==" saltValue="oX5Q8z4SXK3CEHWLzOTZt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136</v>
      </c>
      <c r="C3" s="105"/>
      <c r="D3" s="105"/>
      <c r="E3" s="105"/>
      <c r="F3" s="105"/>
      <c r="G3" s="1"/>
    </row>
    <row r="4" spans="1:7" ht="1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05"/>
      <c r="C5" s="105"/>
      <c r="D5" s="105"/>
      <c r="E5" s="105"/>
      <c r="F5" s="10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103</v>
      </c>
      <c r="C8" s="98"/>
      <c r="D8" s="98"/>
      <c r="E8" s="98"/>
      <c r="F8" s="99"/>
      <c r="G8" s="1"/>
    </row>
    <row r="9" spans="1:7" x14ac:dyDescent="0.25">
      <c r="A9" s="1"/>
      <c r="B9" s="126" t="s">
        <v>226</v>
      </c>
      <c r="C9" s="127"/>
      <c r="D9" s="128"/>
      <c r="E9" s="9">
        <v>0</v>
      </c>
      <c r="F9" s="14" t="s">
        <v>3</v>
      </c>
      <c r="G9" s="1"/>
    </row>
    <row r="10" spans="1:7" x14ac:dyDescent="0.25">
      <c r="A10" s="1"/>
      <c r="B10" s="91" t="s">
        <v>10</v>
      </c>
      <c r="C10" s="92"/>
      <c r="D10" s="93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1" t="s">
        <v>26</v>
      </c>
      <c r="C11" s="92"/>
      <c r="D11" s="93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7" t="s">
        <v>105</v>
      </c>
      <c r="C12" s="98"/>
      <c r="D12" s="99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25">
      <c r="A15" s="1"/>
      <c r="B15" s="126" t="s">
        <v>226</v>
      </c>
      <c r="C15" s="127"/>
      <c r="D15" s="128"/>
      <c r="E15" s="9">
        <v>0</v>
      </c>
      <c r="F15" s="14" t="s">
        <v>3</v>
      </c>
      <c r="G15" s="1"/>
    </row>
    <row r="16" spans="1:7" x14ac:dyDescent="0.25">
      <c r="A16" s="1"/>
      <c r="B16" s="91" t="s">
        <v>10</v>
      </c>
      <c r="C16" s="92"/>
      <c r="D16" s="93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1" t="s">
        <v>26</v>
      </c>
      <c r="C17" s="92"/>
      <c r="D17" s="93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7" t="s">
        <v>106</v>
      </c>
      <c r="C18" s="98"/>
      <c r="D18" s="99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25">
      <c r="A21" s="1"/>
      <c r="B21" s="126" t="s">
        <v>226</v>
      </c>
      <c r="C21" s="127"/>
      <c r="D21" s="128"/>
      <c r="E21" s="9">
        <v>0</v>
      </c>
      <c r="F21" s="14" t="s">
        <v>3</v>
      </c>
      <c r="G21" s="1"/>
    </row>
    <row r="22" spans="1:7" x14ac:dyDescent="0.25">
      <c r="A22" s="1"/>
      <c r="B22" s="91" t="s">
        <v>10</v>
      </c>
      <c r="C22" s="92"/>
      <c r="D22" s="93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1" t="s">
        <v>26</v>
      </c>
      <c r="C23" s="92"/>
      <c r="D23" s="93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7" t="s">
        <v>156</v>
      </c>
      <c r="C24" s="98"/>
      <c r="D24" s="99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25">
      <c r="A27" s="1"/>
      <c r="B27" s="126" t="s">
        <v>226</v>
      </c>
      <c r="C27" s="127"/>
      <c r="D27" s="128"/>
      <c r="E27" s="9">
        <v>0</v>
      </c>
      <c r="F27" s="14" t="s">
        <v>3</v>
      </c>
      <c r="G27" s="1"/>
    </row>
    <row r="28" spans="1:7" x14ac:dyDescent="0.25">
      <c r="A28" s="1"/>
      <c r="B28" s="91" t="s">
        <v>10</v>
      </c>
      <c r="C28" s="92"/>
      <c r="D28" s="93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1" t="s">
        <v>26</v>
      </c>
      <c r="C29" s="92"/>
      <c r="D29" s="93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7" t="s">
        <v>228</v>
      </c>
      <c r="C30" s="98"/>
      <c r="D30" s="99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PbdSa+A7RmUJhe36mhugblUeIKmwzmy4TrAdNzS8qZ0vMBROWQU2U3oq11zrng9yXc5IKTuZ69ndC/ASj6yjg==" saltValue="bNNPt4u2ILBMN6rtD4C7R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157</v>
      </c>
      <c r="C3" s="105"/>
      <c r="D3" s="105"/>
      <c r="E3" s="105"/>
      <c r="F3" s="105"/>
      <c r="G3" s="1"/>
    </row>
    <row r="4" spans="1:7" ht="25.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6dWif9fRvcJc39dRNJeWURzuXMiSVeg9n/CFO3nq0/0QxjH3Ax76XSdd6vLplvU0cskJ2kOG1TDjIWYa+yQvQQ==" saltValue="iTZcKLRbOHQFBrcoWaKsv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133</v>
      </c>
      <c r="C3" s="105"/>
      <c r="D3" s="105"/>
      <c r="E3" s="105"/>
      <c r="F3" s="105"/>
      <c r="G3" s="1"/>
    </row>
    <row r="4" spans="1:7" ht="25.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108</v>
      </c>
      <c r="C14" s="98"/>
      <c r="D14" s="98"/>
      <c r="E14" s="98"/>
      <c r="F14" s="99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169</v>
      </c>
      <c r="C20" s="98"/>
      <c r="D20" s="98"/>
      <c r="E20" s="98"/>
      <c r="F20" s="99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231</v>
      </c>
      <c r="C26" s="98"/>
      <c r="D26" s="98"/>
      <c r="E26" s="98"/>
      <c r="F26" s="99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EzvJ6YOSOevVpOm7p+Iye0SkQvnrmQrUuExQ14zJzSJvInz+40I2qyWxwwYo/GbEd2AA3fevWNIL21Aq9PvSg==" saltValue="+hmty+sGsA+E4pVRR5XmW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5" t="s">
        <v>189</v>
      </c>
      <c r="C3" s="105"/>
      <c r="D3" s="1"/>
    </row>
    <row r="4" spans="1:4" ht="25.5" customHeight="1" x14ac:dyDescent="0.25">
      <c r="A4" s="1"/>
      <c r="B4" s="105"/>
      <c r="C4" s="10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7" t="s">
        <v>137</v>
      </c>
      <c r="C9" s="26">
        <v>1.2699999999999999E-2</v>
      </c>
      <c r="D9" s="1"/>
    </row>
    <row r="10" spans="1:4" x14ac:dyDescent="0.25">
      <c r="A10" s="1"/>
      <c r="B10" s="67" t="s">
        <v>138</v>
      </c>
      <c r="C10" s="26">
        <v>1.7500000000000002E-2</v>
      </c>
      <c r="D10" s="1"/>
    </row>
    <row r="11" spans="1:4" x14ac:dyDescent="0.25">
      <c r="A11" s="1"/>
      <c r="B11" s="67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7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7" t="s">
        <v>139</v>
      </c>
      <c r="C19" s="23">
        <v>9.1000000000000004E-3</v>
      </c>
      <c r="D19" s="1"/>
    </row>
    <row r="20" spans="1:4" x14ac:dyDescent="0.25">
      <c r="A20" s="1"/>
      <c r="B20" s="67" t="s">
        <v>190</v>
      </c>
      <c r="C20" s="23">
        <v>1.77E-2</v>
      </c>
      <c r="D20" s="1"/>
    </row>
    <row r="21" spans="1:4" x14ac:dyDescent="0.25">
      <c r="A21" s="1"/>
      <c r="B21" s="67" t="s">
        <v>191</v>
      </c>
      <c r="C21" s="23">
        <v>8.6999999999999994E-3</v>
      </c>
      <c r="D21" s="1"/>
    </row>
    <row r="22" spans="1:4" x14ac:dyDescent="0.25">
      <c r="A22" s="1"/>
      <c r="B22" s="67" t="s">
        <v>140</v>
      </c>
      <c r="C22" s="41">
        <v>2.8400000000000002E-2</v>
      </c>
      <c r="D22" s="1"/>
    </row>
    <row r="23" spans="1:4" x14ac:dyDescent="0.25">
      <c r="A23" s="1"/>
      <c r="B23" s="67" t="s">
        <v>192</v>
      </c>
      <c r="C23" s="41">
        <v>2.75E-2</v>
      </c>
      <c r="D23" s="1"/>
    </row>
    <row r="24" spans="1:4" x14ac:dyDescent="0.25">
      <c r="A24" s="1"/>
      <c r="B24" s="67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7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qsHtLW5bDkpebZReAICAxxAUcLNPYORfCYvbncGU4/Ilk0tspfUW9RPZW3geHMzwosQqfNpF4/e03dvFV1vlA==" saltValue="8bRI8tCNJLGaiAwiM/mqY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327299312.1157456</v>
      </c>
      <c r="D9" s="8" t="s">
        <v>3</v>
      </c>
      <c r="E9" s="1"/>
    </row>
    <row r="10" spans="1:5" ht="17.100000000000001" customHeight="1" x14ac:dyDescent="0.25">
      <c r="A10" s="1"/>
      <c r="B10" s="56" t="s">
        <v>43</v>
      </c>
      <c r="C10" s="7">
        <f>'Fane 10.1. Varige tillæg'!C12</f>
        <v>1246718.6394</v>
      </c>
      <c r="D10" s="8" t="s">
        <v>3</v>
      </c>
      <c r="E10" s="1"/>
    </row>
    <row r="11" spans="1:5" ht="17.100000000000001" customHeight="1" x14ac:dyDescent="0.25">
      <c r="A11" s="1"/>
      <c r="B11" s="56" t="s">
        <v>44</v>
      </c>
      <c r="C11" s="9">
        <f>'Fane 10.1. Varige tillæg'!E12</f>
        <v>698580.08560098335</v>
      </c>
      <c r="D11" s="8" t="s">
        <v>3</v>
      </c>
      <c r="E11" s="1"/>
    </row>
    <row r="12" spans="1:5" ht="17.100000000000001" customHeight="1" x14ac:dyDescent="0.25">
      <c r="A12" s="1"/>
      <c r="B12" s="56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6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6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6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6" t="s">
        <v>20</v>
      </c>
      <c r="C16" s="9">
        <f>SUM(C9:C15)*'Fane 14. Nøgletal'!C14</f>
        <v>1086507.2157744637</v>
      </c>
      <c r="D16" s="8" t="s">
        <v>3</v>
      </c>
      <c r="E16" s="1"/>
    </row>
    <row r="17" spans="1:5" ht="17.100000000000001" customHeight="1" x14ac:dyDescent="0.25">
      <c r="A17" s="1"/>
      <c r="B17" s="56" t="s">
        <v>10</v>
      </c>
      <c r="C17" s="9">
        <f>-SUM(C9:C16)*'Fane 5. Individuelt eff. krav'!G12</f>
        <v>-6606622.361130421</v>
      </c>
      <c r="D17" s="8" t="s">
        <v>3</v>
      </c>
      <c r="E17" s="1"/>
    </row>
    <row r="18" spans="1:5" ht="17.100000000000001" customHeight="1" x14ac:dyDescent="0.25">
      <c r="A18" s="1"/>
      <c r="B18" s="56" t="s">
        <v>26</v>
      </c>
      <c r="C18" s="9">
        <f>-'Fane 4.1. Gen. krav - drift'!G39</f>
        <v>-3265704.3125982787</v>
      </c>
      <c r="D18" s="8" t="s">
        <v>3</v>
      </c>
      <c r="E18" s="1"/>
    </row>
    <row r="19" spans="1:5" ht="17.100000000000001" customHeight="1" x14ac:dyDescent="0.25">
      <c r="A19" s="1"/>
      <c r="B19" s="56" t="s">
        <v>27</v>
      </c>
      <c r="C19" s="9">
        <f>-'Fane 4.2. Gen. krav - anlæg'!G37</f>
        <v>-2579754.4538371018</v>
      </c>
      <c r="D19" s="8" t="s">
        <v>3</v>
      </c>
      <c r="E19" s="1"/>
    </row>
    <row r="20" spans="1:5" ht="17.100000000000001" customHeight="1" x14ac:dyDescent="0.25">
      <c r="A20" s="1"/>
      <c r="B20" s="62" t="s">
        <v>22</v>
      </c>
      <c r="C20" s="10">
        <f>SUM(C9:C19)</f>
        <v>317879036.92895526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40859321.607888512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2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6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6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2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292</v>
      </c>
      <c r="C30" s="10">
        <f>'Fane 7. Kontrol af ØR2020'!E34</f>
        <v>-9820078.6931052804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8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348918279.8437385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+m3fatu0C5vLy412stgFgCo8lBRe9zkxs9TIF902hh1xmmJv1wipCxZf45WyL+R8insFXbEL32T/2ykeYiCQ==" saltValue="hiyjPR5CwjWtV2bY50MP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/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317879036.92895526</v>
      </c>
      <c r="D9" s="8" t="s">
        <v>3</v>
      </c>
      <c r="E9" s="1"/>
    </row>
    <row r="10" spans="1:5" ht="15" customHeight="1" x14ac:dyDescent="0.25">
      <c r="A10" s="1"/>
      <c r="B10" s="56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6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1049000.8218655523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-6378560.7550164163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-3210951.5140932561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-2549961.2824104503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306788564.19930071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40994157.369194545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2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6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6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2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292</v>
      </c>
      <c r="C26" s="10">
        <f>'Fane 7. Kontrol af ØR2020'!E34</f>
        <v>-9820078.6931052804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8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337962642.87538999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KiE1E08QDqCBEWmMrKlJZUmP5D9h0T4MtLdAmnitXNCe8z95E65XIbSuEb3sg+59/TWxuW+36aY9sfB+SPuImg==" saltValue="Ll9WkJxt6tSKfaEaTMLk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23</v>
      </c>
      <c r="C5" s="90"/>
      <c r="D5" s="90"/>
      <c r="E5" s="1"/>
    </row>
    <row r="6" spans="1:5" x14ac:dyDescent="0.25">
      <c r="A6" s="1"/>
      <c r="B6" s="54"/>
      <c r="C6" s="54"/>
      <c r="D6" s="54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306788564.19930071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1012402.2618576923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-6156019.3292231681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-3157116.7010079687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-2520512.1875536977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295967318.24337357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41129438.08851289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2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6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6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2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8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337096756.33188647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/0VbrdkV7wj6uXTK3B2thKoO65yVOTj/tTfX2l+ngFeR59vUa/NKjWp8e6lKgYaa2oMRqrJluTMH+maQz/osA==" saltValue="x5fLAR/ebmHFEl46OxNW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23</v>
      </c>
      <c r="C5" s="90"/>
      <c r="D5" s="90"/>
      <c r="E5" s="1"/>
    </row>
    <row r="6" spans="1:5" x14ac:dyDescent="0.25">
      <c r="A6" s="1"/>
      <c r="B6" s="54"/>
      <c r="C6" s="54"/>
      <c r="D6" s="54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295967318.24337357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976692.15020313277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-5938880.2078715339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-3104184.4823988695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-2491403.1955815898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285409542.50772464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41265165.234204985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2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6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6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2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8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326674707.74192965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zxmg2gaF9ZOAehadmb7p26b2XxrDsT6S+NnIEhEmryNoWTkwc/iDlSRGcaegpxcBSzX6sFkFOhDTEMr1Hh/P+Q==" saltValue="TMPFozwKc/LHCq++7PIN0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5" t="s">
        <v>250</v>
      </c>
      <c r="C3" s="105"/>
      <c r="D3" s="105"/>
      <c r="E3" s="105"/>
      <c r="F3" s="105"/>
      <c r="G3" s="1"/>
    </row>
    <row r="4" spans="1:7" ht="29.25" customHeight="1" x14ac:dyDescent="0.25">
      <c r="A4" s="1"/>
      <c r="B4" s="105"/>
      <c r="C4" s="105"/>
      <c r="D4" s="105"/>
      <c r="E4" s="105"/>
      <c r="F4" s="10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286</v>
      </c>
      <c r="C8" s="32"/>
      <c r="D8" s="32"/>
      <c r="E8" s="32"/>
      <c r="F8" s="20"/>
      <c r="G8" s="1"/>
    </row>
    <row r="9" spans="1:7" ht="15" customHeight="1" x14ac:dyDescent="0.25">
      <c r="A9" s="1"/>
      <c r="B9" s="100" t="s">
        <v>25</v>
      </c>
      <c r="C9" s="101"/>
      <c r="D9" s="102"/>
      <c r="E9" s="7">
        <v>326663710.53271514</v>
      </c>
      <c r="F9" s="8" t="s">
        <v>3</v>
      </c>
      <c r="G9" s="1"/>
    </row>
    <row r="10" spans="1:7" ht="15" customHeight="1" x14ac:dyDescent="0.25">
      <c r="A10" s="1"/>
      <c r="B10" s="91" t="s">
        <v>43</v>
      </c>
      <c r="C10" s="92"/>
      <c r="D10" s="93"/>
      <c r="E10" s="7">
        <v>632583.49979999999</v>
      </c>
      <c r="F10" s="8" t="s">
        <v>3</v>
      </c>
      <c r="G10" s="1"/>
    </row>
    <row r="11" spans="1:7" ht="15" customHeight="1" x14ac:dyDescent="0.25">
      <c r="A11" s="1"/>
      <c r="B11" s="91" t="s">
        <v>44</v>
      </c>
      <c r="C11" s="92"/>
      <c r="D11" s="93"/>
      <c r="E11" s="9">
        <v>3824397.2843999998</v>
      </c>
      <c r="F11" s="8" t="s">
        <v>3</v>
      </c>
      <c r="G11" s="1"/>
    </row>
    <row r="12" spans="1:7" ht="15" customHeight="1" x14ac:dyDescent="0.2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25">
      <c r="A13" s="1"/>
      <c r="B13" s="100" t="s">
        <v>28</v>
      </c>
      <c r="C13" s="101"/>
      <c r="D13" s="102"/>
      <c r="E13" s="9">
        <v>0</v>
      </c>
      <c r="F13" s="8" t="s">
        <v>3</v>
      </c>
      <c r="G13" s="1"/>
    </row>
    <row r="14" spans="1:7" ht="15" customHeight="1" x14ac:dyDescent="0.25">
      <c r="A14" s="1"/>
      <c r="B14" s="100" t="s">
        <v>31</v>
      </c>
      <c r="C14" s="101"/>
      <c r="D14" s="102"/>
      <c r="E14" s="9">
        <v>0</v>
      </c>
      <c r="F14" s="8" t="s">
        <v>3</v>
      </c>
      <c r="G14" s="1"/>
    </row>
    <row r="15" spans="1:7" ht="15" customHeight="1" x14ac:dyDescent="0.25">
      <c r="A15" s="1"/>
      <c r="B15" s="100" t="s">
        <v>30</v>
      </c>
      <c r="C15" s="101"/>
      <c r="D15" s="102"/>
      <c r="E15" s="9">
        <v>0</v>
      </c>
      <c r="F15" s="8" t="s">
        <v>3</v>
      </c>
      <c r="G15" s="1"/>
    </row>
    <row r="16" spans="1:7" ht="15" customHeight="1" x14ac:dyDescent="0.25">
      <c r="A16" s="1"/>
      <c r="B16" s="100" t="s">
        <v>20</v>
      </c>
      <c r="C16" s="101"/>
      <c r="D16" s="102"/>
      <c r="E16" s="9">
        <v>6489650.2630617274</v>
      </c>
      <c r="F16" s="8" t="s">
        <v>3</v>
      </c>
      <c r="G16" s="1"/>
    </row>
    <row r="17" spans="1:7" ht="15" customHeight="1" x14ac:dyDescent="0.25">
      <c r="A17" s="1"/>
      <c r="B17" s="100" t="s">
        <v>10</v>
      </c>
      <c r="C17" s="101"/>
      <c r="D17" s="102"/>
      <c r="E17" s="9">
        <v>-1960806.9262553484</v>
      </c>
      <c r="F17" s="8" t="s">
        <v>3</v>
      </c>
      <c r="G17" s="1"/>
    </row>
    <row r="18" spans="1:7" ht="15" customHeight="1" x14ac:dyDescent="0.25">
      <c r="A18" s="1"/>
      <c r="B18" s="100" t="s">
        <v>26</v>
      </c>
      <c r="C18" s="101"/>
      <c r="D18" s="102"/>
      <c r="E18" s="9">
        <f>-'Fane 4.1. Gen. krav - drift'!G33</f>
        <v>-3295947.5123725161</v>
      </c>
      <c r="F18" s="8" t="s">
        <v>3</v>
      </c>
      <c r="G18" s="1"/>
    </row>
    <row r="19" spans="1:7" ht="15" customHeight="1" x14ac:dyDescent="0.25">
      <c r="A19" s="1"/>
      <c r="B19" s="100" t="s">
        <v>27</v>
      </c>
      <c r="C19" s="101"/>
      <c r="D19" s="102"/>
      <c r="E19" s="9">
        <f>-'Fane 4.2. Gen. krav - anlæg'!G31</f>
        <v>-5054275.0256034238</v>
      </c>
      <c r="F19" s="8" t="s">
        <v>3</v>
      </c>
      <c r="G19" s="1"/>
    </row>
    <row r="20" spans="1:7" ht="15" customHeight="1" x14ac:dyDescent="0.25">
      <c r="A20" s="1"/>
      <c r="B20" s="62" t="s">
        <v>22</v>
      </c>
      <c r="C20" s="63"/>
      <c r="D20" s="69"/>
      <c r="E20" s="10">
        <f>SUM(E9:E19)</f>
        <v>327299312.1157456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4" t="s">
        <v>13</v>
      </c>
      <c r="C22" s="95"/>
      <c r="D22" s="96"/>
      <c r="E22" s="10">
        <v>63728097.637286879</v>
      </c>
      <c r="F22" s="11" t="s">
        <v>3</v>
      </c>
      <c r="G22" s="1"/>
    </row>
    <row r="23" spans="1:7" ht="15" customHeight="1" x14ac:dyDescent="0.2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25">
      <c r="A24" s="1"/>
      <c r="B24" s="62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1" t="s">
        <v>89</v>
      </c>
      <c r="C26" s="92"/>
      <c r="D26" s="93"/>
      <c r="E26" s="9">
        <v>0</v>
      </c>
      <c r="F26" s="8" t="s">
        <v>3</v>
      </c>
      <c r="G26" s="1"/>
    </row>
    <row r="27" spans="1:7" ht="15" customHeight="1" x14ac:dyDescent="0.2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25">
      <c r="A28" s="1"/>
      <c r="B28" s="103" t="s">
        <v>95</v>
      </c>
      <c r="C28" s="104"/>
      <c r="D28" s="104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4" t="s">
        <v>185</v>
      </c>
      <c r="C30" s="95"/>
      <c r="D30" s="95"/>
      <c r="E30" s="45">
        <v>1241832.4902172387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4" t="s">
        <v>148</v>
      </c>
      <c r="C32" s="95"/>
      <c r="D32" s="96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392269242.24324971</v>
      </c>
      <c r="F33" s="13" t="s">
        <v>3</v>
      </c>
      <c r="G33" s="1"/>
    </row>
    <row r="34" spans="1:7" ht="27" customHeight="1" x14ac:dyDescent="0.25">
      <c r="A34" s="1"/>
      <c r="B34" s="100" t="s">
        <v>252</v>
      </c>
      <c r="C34" s="101"/>
      <c r="D34" s="101"/>
      <c r="E34" s="101"/>
      <c r="F34" s="102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EqyGP1WcKRbRBOFU/Q+quouKaipOQ4c2CV5tWRT89B4zG41dQyen2nLgeEubf1jgikEl18ero8kkgWqhaYIdg==" saltValue="b2GcNLXc2r+HevwnBt/LO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5" t="s">
        <v>130</v>
      </c>
      <c r="C2" s="105"/>
      <c r="D2" s="105"/>
      <c r="E2" s="105"/>
      <c r="F2" s="105"/>
      <c r="G2" s="105"/>
      <c r="H2" s="105"/>
      <c r="I2" s="1"/>
    </row>
    <row r="3" spans="1:9" ht="28.5" customHeight="1" x14ac:dyDescent="0.25">
      <c r="A3" s="1"/>
      <c r="B3" s="105"/>
      <c r="C3" s="105"/>
      <c r="D3" s="105"/>
      <c r="E3" s="105"/>
      <c r="F3" s="105"/>
      <c r="G3" s="105"/>
      <c r="H3" s="105"/>
      <c r="I3" s="1"/>
    </row>
    <row r="4" spans="1:9" x14ac:dyDescent="0.25">
      <c r="A4" s="1"/>
      <c r="B4" s="97" t="s">
        <v>56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6" t="s">
        <v>45</v>
      </c>
      <c r="C5" s="107"/>
      <c r="D5" s="107"/>
      <c r="E5" s="107"/>
      <c r="F5" s="108"/>
      <c r="G5" s="24">
        <v>144254587.07373461</v>
      </c>
      <c r="H5" s="14" t="s">
        <v>3</v>
      </c>
      <c r="I5" s="1"/>
    </row>
    <row r="6" spans="1:9" x14ac:dyDescent="0.25">
      <c r="A6" s="1"/>
      <c r="B6" s="100" t="s">
        <v>145</v>
      </c>
      <c r="C6" s="101"/>
      <c r="D6" s="101"/>
      <c r="E6" s="101"/>
      <c r="F6" s="102"/>
      <c r="G6" s="52">
        <v>0</v>
      </c>
      <c r="H6" s="14" t="s">
        <v>3</v>
      </c>
      <c r="I6" s="1"/>
    </row>
    <row r="7" spans="1:9" x14ac:dyDescent="0.25">
      <c r="A7" s="1"/>
      <c r="B7" s="106" t="s">
        <v>46</v>
      </c>
      <c r="C7" s="107"/>
      <c r="D7" s="107"/>
      <c r="E7" s="107"/>
      <c r="F7" s="108"/>
      <c r="G7" s="24">
        <f>SUM(G5:G6)*'Fane 14. Nøgletal'!C29</f>
        <v>2885091.7414746922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7" t="s">
        <v>57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6" t="s">
        <v>47</v>
      </c>
      <c r="C11" s="107"/>
      <c r="D11" s="107"/>
      <c r="E11" s="107"/>
      <c r="F11" s="108"/>
      <c r="G11" s="24">
        <f>(G5-G7)*(1+'Fane 14. Nøgletal'!C10)</f>
        <v>143843461.50057447</v>
      </c>
      <c r="H11" s="14" t="s">
        <v>3</v>
      </c>
      <c r="I11" s="1"/>
    </row>
    <row r="12" spans="1:9" ht="15" customHeight="1" x14ac:dyDescent="0.25">
      <c r="A12" s="1"/>
      <c r="B12" s="106" t="s">
        <v>146</v>
      </c>
      <c r="C12" s="107"/>
      <c r="D12" s="107"/>
      <c r="E12" s="107"/>
      <c r="F12" s="108"/>
      <c r="G12" s="24">
        <v>927327.98867640423</v>
      </c>
      <c r="H12" s="14" t="s">
        <v>3</v>
      </c>
      <c r="I12" s="1"/>
    </row>
    <row r="13" spans="1:9" x14ac:dyDescent="0.25">
      <c r="A13" s="1"/>
      <c r="B13" s="100" t="s">
        <v>143</v>
      </c>
      <c r="C13" s="101"/>
      <c r="D13" s="101"/>
      <c r="E13" s="101"/>
      <c r="F13" s="102"/>
      <c r="G13" s="52">
        <v>0</v>
      </c>
      <c r="H13" s="14" t="s">
        <v>3</v>
      </c>
      <c r="I13" s="1"/>
    </row>
    <row r="14" spans="1:9" x14ac:dyDescent="0.25">
      <c r="A14" s="1"/>
      <c r="B14" s="109" t="s">
        <v>48</v>
      </c>
      <c r="C14" s="110"/>
      <c r="D14" s="110"/>
      <c r="E14" s="110"/>
      <c r="F14" s="111"/>
      <c r="G14" s="24">
        <v>20084209.28848125</v>
      </c>
      <c r="H14" s="14" t="s">
        <v>3</v>
      </c>
      <c r="I14" s="1"/>
    </row>
    <row r="15" spans="1:9" x14ac:dyDescent="0.25">
      <c r="A15" s="1"/>
      <c r="B15" s="106" t="s">
        <v>49</v>
      </c>
      <c r="C15" s="107"/>
      <c r="D15" s="107"/>
      <c r="E15" s="107"/>
      <c r="F15" s="108"/>
      <c r="G15" s="24">
        <f>SUM(G11:G14)*'Fane 14. Nøgletal'!C29</f>
        <v>3297099.9755546427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7" t="s">
        <v>58</v>
      </c>
      <c r="C18" s="98"/>
      <c r="D18" s="98"/>
      <c r="E18" s="98"/>
      <c r="F18" s="98"/>
      <c r="G18" s="98"/>
      <c r="H18" s="99"/>
      <c r="I18" s="1"/>
    </row>
    <row r="19" spans="1:9" x14ac:dyDescent="0.25">
      <c r="A19" s="1"/>
      <c r="B19" s="106" t="s">
        <v>50</v>
      </c>
      <c r="C19" s="107"/>
      <c r="D19" s="107"/>
      <c r="E19" s="107"/>
      <c r="F19" s="108"/>
      <c r="G19" s="24">
        <f>(SUM(G11:G12,G14)-(G15))*(1+'Fane 14. Nøgletal'!C10)</f>
        <v>164385162.03121561</v>
      </c>
      <c r="H19" s="14" t="s">
        <v>3</v>
      </c>
      <c r="I19" s="1"/>
    </row>
    <row r="20" spans="1:9" x14ac:dyDescent="0.25">
      <c r="A20" s="1"/>
      <c r="B20" s="109" t="s">
        <v>51</v>
      </c>
      <c r="C20" s="110"/>
      <c r="D20" s="110"/>
      <c r="E20" s="110"/>
      <c r="F20" s="111"/>
      <c r="G20" s="52">
        <v>0</v>
      </c>
      <c r="H20" s="14" t="s">
        <v>3</v>
      </c>
      <c r="I20" s="1"/>
    </row>
    <row r="21" spans="1:9" x14ac:dyDescent="0.25">
      <c r="A21" s="1"/>
      <c r="B21" s="106" t="s">
        <v>52</v>
      </c>
      <c r="C21" s="107"/>
      <c r="D21" s="107"/>
      <c r="E21" s="107"/>
      <c r="F21" s="108"/>
      <c r="G21" s="24">
        <f>SUM(G19:G20)*'Fane 14. Nøgletal'!C29</f>
        <v>3287703.2406243123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7" t="s">
        <v>59</v>
      </c>
      <c r="C24" s="98"/>
      <c r="D24" s="98"/>
      <c r="E24" s="98"/>
      <c r="F24" s="98"/>
      <c r="G24" s="98"/>
      <c r="H24" s="99"/>
      <c r="I24" s="1"/>
    </row>
    <row r="25" spans="1:9" x14ac:dyDescent="0.25">
      <c r="A25" s="1"/>
      <c r="B25" s="106" t="s">
        <v>53</v>
      </c>
      <c r="C25" s="107"/>
      <c r="D25" s="107"/>
      <c r="E25" s="107"/>
      <c r="F25" s="108"/>
      <c r="G25" s="24">
        <f>(G19+G20-G21)*(1+'Fane 14. Nøgletal'!C12)</f>
        <v>164271078.72876596</v>
      </c>
      <c r="H25" s="14" t="s">
        <v>3</v>
      </c>
      <c r="I25" s="1"/>
    </row>
    <row r="26" spans="1:9" x14ac:dyDescent="0.25">
      <c r="A26" s="1"/>
      <c r="B26" s="109" t="s">
        <v>54</v>
      </c>
      <c r="C26" s="110"/>
      <c r="D26" s="110"/>
      <c r="E26" s="110"/>
      <c r="F26" s="111"/>
      <c r="G26" s="52">
        <v>0</v>
      </c>
      <c r="H26" s="14" t="s">
        <v>3</v>
      </c>
      <c r="I26" s="1"/>
    </row>
    <row r="27" spans="1:9" x14ac:dyDescent="0.25">
      <c r="A27" s="1"/>
      <c r="B27" s="106" t="s">
        <v>55</v>
      </c>
      <c r="C27" s="107"/>
      <c r="D27" s="107"/>
      <c r="E27" s="107"/>
      <c r="F27" s="108"/>
      <c r="G27" s="24">
        <f>(G25+G26)*'Fane 14. Nøgletal'!C29</f>
        <v>3285421.5745753194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7" t="s">
        <v>62</v>
      </c>
      <c r="C30" s="98"/>
      <c r="D30" s="98"/>
      <c r="E30" s="98"/>
      <c r="F30" s="98"/>
      <c r="G30" s="98"/>
      <c r="H30" s="99"/>
      <c r="I30" s="1"/>
    </row>
    <row r="31" spans="1:9" x14ac:dyDescent="0.25">
      <c r="A31" s="1"/>
      <c r="B31" s="106" t="s">
        <v>63</v>
      </c>
      <c r="C31" s="107"/>
      <c r="D31" s="107"/>
      <c r="E31" s="107"/>
      <c r="F31" s="108"/>
      <c r="G31" s="24">
        <f>(G25+G26-G27)*(1+'Fane 14. Nøgletal'!C12)</f>
        <v>164157074.60012823</v>
      </c>
      <c r="H31" s="14" t="s">
        <v>3</v>
      </c>
      <c r="I31" s="1"/>
    </row>
    <row r="32" spans="1:9" x14ac:dyDescent="0.25">
      <c r="A32" s="1"/>
      <c r="B32" s="106" t="s">
        <v>171</v>
      </c>
      <c r="C32" s="107"/>
      <c r="D32" s="107"/>
      <c r="E32" s="107"/>
      <c r="F32" s="108"/>
      <c r="G32" s="24">
        <v>640301.01849755994</v>
      </c>
      <c r="H32" s="14" t="s">
        <v>3</v>
      </c>
      <c r="I32" s="1"/>
    </row>
    <row r="33" spans="1:9" x14ac:dyDescent="0.25">
      <c r="A33" s="1"/>
      <c r="B33" s="106" t="s">
        <v>64</v>
      </c>
      <c r="C33" s="107"/>
      <c r="D33" s="107"/>
      <c r="E33" s="107"/>
      <c r="F33" s="108"/>
      <c r="G33" s="24">
        <f>(G31+G32)*'Fane 14. Nøgletal'!C29</f>
        <v>3295947.5123725161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7" t="s">
        <v>232</v>
      </c>
      <c r="C36" s="98"/>
      <c r="D36" s="98"/>
      <c r="E36" s="98"/>
      <c r="F36" s="98"/>
      <c r="G36" s="98"/>
      <c r="H36" s="99"/>
      <c r="I36" s="1"/>
    </row>
    <row r="37" spans="1:9" x14ac:dyDescent="0.25">
      <c r="A37" s="1"/>
      <c r="B37" s="106" t="s">
        <v>84</v>
      </c>
      <c r="C37" s="107"/>
      <c r="D37" s="107"/>
      <c r="E37" s="107"/>
      <c r="F37" s="108"/>
      <c r="G37" s="24">
        <f>(G31+G32-G33)*(1+'Fane 14. Nøgletal'!C14)</f>
        <v>162034382.81900391</v>
      </c>
      <c r="H37" s="14" t="s">
        <v>3</v>
      </c>
      <c r="I37" s="1"/>
    </row>
    <row r="38" spans="1:9" x14ac:dyDescent="0.25">
      <c r="A38" s="1"/>
      <c r="B38" s="106" t="s">
        <v>236</v>
      </c>
      <c r="C38" s="107"/>
      <c r="D38" s="107"/>
      <c r="E38" s="107"/>
      <c r="F38" s="108"/>
      <c r="G38" s="24">
        <f>SUM('Fane 2.1. Økonomisk ramme 2022'!C10,'Fane 2.1. Økonomisk ramme 2022'!C12,'Fane 2.1. Økonomisk ramme 2022'!C14)*(1+'Fane 14. Nøgletal'!C14)</f>
        <v>1250832.81091002</v>
      </c>
      <c r="H38" s="14" t="s">
        <v>3</v>
      </c>
      <c r="I38" s="1"/>
    </row>
    <row r="39" spans="1:9" x14ac:dyDescent="0.25">
      <c r="A39" s="1"/>
      <c r="B39" s="106" t="s">
        <v>234</v>
      </c>
      <c r="C39" s="107"/>
      <c r="D39" s="107"/>
      <c r="E39" s="107"/>
      <c r="F39" s="108"/>
      <c r="G39" s="24">
        <f>(G37+G38)*'Fane 14. Nøgletal'!C29</f>
        <v>3265704.3125982787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7" t="s">
        <v>233</v>
      </c>
      <c r="C42" s="98"/>
      <c r="D42" s="98"/>
      <c r="E42" s="98"/>
      <c r="F42" s="98"/>
      <c r="G42" s="98"/>
      <c r="H42" s="99"/>
      <c r="I42" s="1"/>
    </row>
    <row r="43" spans="1:9" x14ac:dyDescent="0.25">
      <c r="A43" s="1"/>
      <c r="B43" s="106" t="s">
        <v>83</v>
      </c>
      <c r="C43" s="107"/>
      <c r="D43" s="107"/>
      <c r="E43" s="107"/>
      <c r="F43" s="108"/>
      <c r="G43" s="24">
        <f>(G37+G38-G39)*(1+'Fane 14. Nøgletal'!C14)</f>
        <v>160547575.7046628</v>
      </c>
      <c r="H43" s="14" t="s">
        <v>3</v>
      </c>
      <c r="I43" s="1"/>
    </row>
    <row r="44" spans="1:9" x14ac:dyDescent="0.25">
      <c r="A44" s="1"/>
      <c r="B44" s="112" t="s">
        <v>237</v>
      </c>
      <c r="C44" s="113"/>
      <c r="D44" s="113"/>
      <c r="E44" s="113"/>
      <c r="F44" s="114"/>
      <c r="G44" s="24">
        <f>G38*(1+'Fane 14. Nøgletal'!C14)</f>
        <v>1254960.5591860232</v>
      </c>
      <c r="H44" s="14" t="s">
        <v>3</v>
      </c>
      <c r="I44" s="1"/>
    </row>
    <row r="45" spans="1:9" x14ac:dyDescent="0.25">
      <c r="A45" s="1"/>
      <c r="B45" s="106" t="s">
        <v>97</v>
      </c>
      <c r="C45" s="107"/>
      <c r="D45" s="107"/>
      <c r="E45" s="107"/>
      <c r="F45" s="108"/>
      <c r="G45" s="52">
        <v>0</v>
      </c>
      <c r="H45" s="14" t="s">
        <v>3</v>
      </c>
      <c r="I45" s="1"/>
    </row>
    <row r="46" spans="1:9" x14ac:dyDescent="0.25">
      <c r="A46" s="1"/>
      <c r="B46" s="106" t="s">
        <v>235</v>
      </c>
      <c r="C46" s="107"/>
      <c r="D46" s="107"/>
      <c r="E46" s="107"/>
      <c r="F46" s="108"/>
      <c r="G46" s="24">
        <f>(G43+G45)*'Fane 14. Nøgletal'!C29</f>
        <v>3210951.5140932561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7" t="s">
        <v>172</v>
      </c>
      <c r="C51" s="98"/>
      <c r="D51" s="98"/>
      <c r="E51" s="98"/>
      <c r="F51" s="98"/>
      <c r="G51" s="98"/>
      <c r="H51" s="99"/>
      <c r="I51" s="1"/>
    </row>
    <row r="52" spans="1:9" x14ac:dyDescent="0.25">
      <c r="A52" s="1"/>
      <c r="B52" s="106" t="s">
        <v>173</v>
      </c>
      <c r="C52" s="107"/>
      <c r="D52" s="107"/>
      <c r="E52" s="107"/>
      <c r="F52" s="108"/>
      <c r="G52" s="24">
        <f>(G43+G45-G46)*(1+'Fane 14. Nøgletal'!C14)</f>
        <v>157855835.05039844</v>
      </c>
      <c r="H52" s="14" t="s">
        <v>3</v>
      </c>
      <c r="I52" s="1"/>
    </row>
    <row r="53" spans="1:9" x14ac:dyDescent="0.25">
      <c r="A53" s="1"/>
      <c r="B53" s="106" t="s">
        <v>174</v>
      </c>
      <c r="C53" s="107"/>
      <c r="D53" s="107"/>
      <c r="E53" s="107"/>
      <c r="F53" s="108"/>
      <c r="G53" s="52">
        <v>0</v>
      </c>
      <c r="H53" s="14" t="s">
        <v>3</v>
      </c>
      <c r="I53" s="1"/>
    </row>
    <row r="54" spans="1:9" x14ac:dyDescent="0.25">
      <c r="A54" s="1"/>
      <c r="B54" s="106" t="s">
        <v>175</v>
      </c>
      <c r="C54" s="107"/>
      <c r="D54" s="107"/>
      <c r="E54" s="107"/>
      <c r="F54" s="108"/>
      <c r="G54" s="24">
        <f>(G52+G53)*'Fane 14. Nøgletal'!C29</f>
        <v>3157116.7010079687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7" t="s">
        <v>201</v>
      </c>
      <c r="C57" s="98"/>
      <c r="D57" s="98"/>
      <c r="E57" s="98"/>
      <c r="F57" s="98"/>
      <c r="G57" s="98"/>
      <c r="H57" s="99"/>
      <c r="I57" s="1"/>
    </row>
    <row r="58" spans="1:9" x14ac:dyDescent="0.25">
      <c r="A58" s="1"/>
      <c r="B58" s="64" t="s">
        <v>202</v>
      </c>
      <c r="C58" s="65"/>
      <c r="D58" s="65"/>
      <c r="E58" s="65"/>
      <c r="F58" s="66"/>
      <c r="G58" s="24">
        <f>(G52+G53-G54)*(1+'Fane 14. Nøgletal'!C14)</f>
        <v>155209224.11994347</v>
      </c>
      <c r="H58" s="14" t="s">
        <v>3</v>
      </c>
      <c r="I58" s="1"/>
    </row>
    <row r="59" spans="1:9" x14ac:dyDescent="0.25">
      <c r="A59" s="1"/>
      <c r="B59" s="64" t="s">
        <v>203</v>
      </c>
      <c r="C59" s="65"/>
      <c r="D59" s="65"/>
      <c r="E59" s="65"/>
      <c r="F59" s="66"/>
      <c r="G59" s="52">
        <v>0</v>
      </c>
      <c r="H59" s="14" t="s">
        <v>3</v>
      </c>
      <c r="I59" s="1"/>
    </row>
    <row r="60" spans="1:9" x14ac:dyDescent="0.25">
      <c r="A60" s="1"/>
      <c r="B60" s="64" t="s">
        <v>204</v>
      </c>
      <c r="C60" s="65"/>
      <c r="D60" s="65"/>
      <c r="E60" s="65"/>
      <c r="F60" s="66"/>
      <c r="G60" s="24">
        <f>(G58+G59)*'Fane 14. Nøgletal'!C29</f>
        <v>3104184.4823988695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15Yi3vAoIjFH/JCvS0JFN/T8zJbyrYxnGYyAgD+RQfS0kkdgWinuzNQHGL35GTEVCrLvf9gQSl/jX9ljUsLc8A==" saltValue="0siZXsAtovRARso+TYSsKA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1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5" t="s">
        <v>131</v>
      </c>
      <c r="C1" s="115"/>
      <c r="D1" s="115"/>
      <c r="E1" s="115"/>
      <c r="F1" s="115"/>
      <c r="G1" s="115"/>
      <c r="H1" s="115"/>
      <c r="I1" s="1"/>
    </row>
    <row r="2" spans="1:9" ht="15" customHeight="1" x14ac:dyDescent="0.25">
      <c r="A2" s="1"/>
      <c r="B2" s="115"/>
      <c r="C2" s="115"/>
      <c r="D2" s="115"/>
      <c r="E2" s="115"/>
      <c r="F2" s="115"/>
      <c r="G2" s="115"/>
      <c r="H2" s="115"/>
      <c r="I2" s="1"/>
    </row>
    <row r="3" spans="1:9" ht="15" customHeight="1" x14ac:dyDescent="0.25">
      <c r="A3" s="1"/>
      <c r="B3" s="116"/>
      <c r="C3" s="116"/>
      <c r="D3" s="116"/>
      <c r="E3" s="116"/>
      <c r="F3" s="116"/>
      <c r="G3" s="116"/>
      <c r="H3" s="116"/>
      <c r="I3" s="1"/>
    </row>
    <row r="4" spans="1:9" x14ac:dyDescent="0.2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6" t="s">
        <v>65</v>
      </c>
      <c r="C5" s="107"/>
      <c r="D5" s="107"/>
      <c r="E5" s="107"/>
      <c r="F5" s="108"/>
      <c r="G5" s="24">
        <v>155378061.51667443</v>
      </c>
      <c r="H5" s="14" t="s">
        <v>3</v>
      </c>
      <c r="I5" s="1"/>
    </row>
    <row r="6" spans="1:9" x14ac:dyDescent="0.25">
      <c r="A6" s="1"/>
      <c r="B6" s="106" t="s">
        <v>61</v>
      </c>
      <c r="C6" s="107"/>
      <c r="D6" s="107"/>
      <c r="E6" s="107"/>
      <c r="F6" s="108"/>
      <c r="G6" s="24">
        <f>G5*'Fane 14. Nøgletal'!C19</f>
        <v>1413940.3598017374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6" t="s">
        <v>67</v>
      </c>
      <c r="C10" s="107"/>
      <c r="D10" s="107"/>
      <c r="E10" s="107"/>
      <c r="F10" s="108"/>
      <c r="G10" s="24">
        <f>(G5-G6)*(1+'Fane 14. Nøgletal'!C10)</f>
        <v>156658493.27711797</v>
      </c>
      <c r="H10" s="14" t="s">
        <v>3</v>
      </c>
      <c r="I10" s="1"/>
    </row>
    <row r="11" spans="1:9" x14ac:dyDescent="0.25">
      <c r="A11" s="1"/>
      <c r="B11" s="106" t="s">
        <v>147</v>
      </c>
      <c r="C11" s="107"/>
      <c r="D11" s="107"/>
      <c r="E11" s="107"/>
      <c r="F11" s="108"/>
      <c r="G11" s="24">
        <v>6888501.4233687846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52">
        <v>0</v>
      </c>
      <c r="H12" s="14" t="s">
        <v>3</v>
      </c>
      <c r="I12" s="1"/>
    </row>
    <row r="13" spans="1:9" x14ac:dyDescent="0.25">
      <c r="A13" s="1"/>
      <c r="B13" s="106" t="s">
        <v>69</v>
      </c>
      <c r="C13" s="107"/>
      <c r="D13" s="107"/>
      <c r="E13" s="107"/>
      <c r="F13" s="108"/>
      <c r="G13" s="24">
        <f>SUM(G10:G12)*'Fane 14. Nøgletal'!C20</f>
        <v>2894781.8061986156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6" t="s">
        <v>71</v>
      </c>
      <c r="C17" s="107"/>
      <c r="D17" s="107"/>
      <c r="E17" s="107"/>
      <c r="F17" s="108"/>
      <c r="G17" s="24">
        <f>(SUM(G10:G12)-G13)*(1+'Fane 14. Nøgletal'!C10)</f>
        <v>163463626.61993816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24">
        <v>4717908.1024258388</v>
      </c>
      <c r="H18" s="14" t="s">
        <v>3</v>
      </c>
      <c r="I18" s="1"/>
    </row>
    <row r="19" spans="1:9" x14ac:dyDescent="0.25">
      <c r="A19" s="1"/>
      <c r="B19" s="106" t="s">
        <v>73</v>
      </c>
      <c r="C19" s="107"/>
      <c r="D19" s="107"/>
      <c r="E19" s="107"/>
      <c r="F19" s="108"/>
      <c r="G19" s="24">
        <f>G17*'Fane 14. Nøgletal'!C20+G18*'Fane 14. Nøgletal'!C21</f>
        <v>2934351.9916640106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6" t="s">
        <v>75</v>
      </c>
      <c r="C23" s="107"/>
      <c r="D23" s="107"/>
      <c r="E23" s="107"/>
      <c r="F23" s="108"/>
      <c r="G23" s="24">
        <f>(G17+G18-G19)*(1+'Fane 14. Nøgletal'!C12)</f>
        <v>168502552.2304948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24">
        <v>7344752.1915702559</v>
      </c>
      <c r="H24" s="14" t="s">
        <v>3</v>
      </c>
      <c r="I24" s="1"/>
    </row>
    <row r="25" spans="1:9" x14ac:dyDescent="0.25">
      <c r="A25" s="1"/>
      <c r="B25" s="106" t="s">
        <v>77</v>
      </c>
      <c r="C25" s="107"/>
      <c r="D25" s="107"/>
      <c r="E25" s="107"/>
      <c r="F25" s="108"/>
      <c r="G25" s="24">
        <f>(G23+G24)*'Fane 14. Nøgletal'!C22</f>
        <v>4994063.4455866478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6" t="s">
        <v>79</v>
      </c>
      <c r="C29" s="107"/>
      <c r="D29" s="107"/>
      <c r="E29" s="107"/>
      <c r="F29" s="108"/>
      <c r="G29" s="24">
        <f>(G23+G24-G25)*(1+'Fane 14. Nøgletal'!C12)</f>
        <v>174219049.82371503</v>
      </c>
      <c r="H29" s="14" t="s">
        <v>3</v>
      </c>
      <c r="I29" s="1"/>
    </row>
    <row r="30" spans="1:9" x14ac:dyDescent="0.25">
      <c r="A30" s="1"/>
      <c r="B30" s="106" t="s">
        <v>176</v>
      </c>
      <c r="C30" s="107"/>
      <c r="D30" s="107"/>
      <c r="E30" s="107"/>
      <c r="F30" s="108"/>
      <c r="G30" s="24">
        <v>3871054.9312696797</v>
      </c>
      <c r="H30" s="14" t="s">
        <v>3</v>
      </c>
      <c r="I30" s="1"/>
    </row>
    <row r="31" spans="1:9" x14ac:dyDescent="0.25">
      <c r="A31" s="1"/>
      <c r="B31" s="106" t="s">
        <v>80</v>
      </c>
      <c r="C31" s="107"/>
      <c r="D31" s="107"/>
      <c r="E31" s="107"/>
      <c r="F31" s="108"/>
      <c r="G31" s="24">
        <f>G29*'Fane 14. Nøgletal'!C22+G30*'Fane 14. Nøgletal'!C23</f>
        <v>5054275.0256034238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6" t="s">
        <v>82</v>
      </c>
      <c r="C35" s="107"/>
      <c r="D35" s="107"/>
      <c r="E35" s="107"/>
      <c r="F35" s="108"/>
      <c r="G35" s="24">
        <f>(G29+G30-G31)*(1+'Fane 14. Nøgletal'!C14)</f>
        <v>173606847.96748826</v>
      </c>
      <c r="H35" s="14" t="s">
        <v>3</v>
      </c>
      <c r="I35" s="1"/>
    </row>
    <row r="36" spans="1:9" x14ac:dyDescent="0.25">
      <c r="A36" s="1"/>
      <c r="B36" s="106" t="s">
        <v>240</v>
      </c>
      <c r="C36" s="107"/>
      <c r="D36" s="107"/>
      <c r="E36" s="107"/>
      <c r="F36" s="108"/>
      <c r="G36" s="24">
        <f>SUM('Fane 2.1. Økonomisk ramme 2022'!C11,'Fane 2.1. Økonomisk ramme 2022'!C13,'Fane 2.1. Økonomisk ramme 2022'!C15)*(1+'Fane 14. Nøgletal'!C14)</f>
        <v>700885.39988346666</v>
      </c>
      <c r="H36" s="14" t="s">
        <v>3</v>
      </c>
      <c r="I36" s="1"/>
    </row>
    <row r="37" spans="1:9" x14ac:dyDescent="0.25">
      <c r="A37" s="1"/>
      <c r="B37" s="106" t="s">
        <v>239</v>
      </c>
      <c r="C37" s="107"/>
      <c r="D37" s="107"/>
      <c r="E37" s="107"/>
      <c r="F37" s="108"/>
      <c r="G37" s="24">
        <f>(G35+G36)*'Fane 14. Nøgletal'!C24</f>
        <v>2579754.4538371018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6" t="s">
        <v>81</v>
      </c>
      <c r="C41" s="107"/>
      <c r="D41" s="107"/>
      <c r="E41" s="107"/>
      <c r="F41" s="108"/>
      <c r="G41" s="24">
        <f>(G35+G36-G37)*(1+'Fane 14. Nøgletal'!C14)</f>
        <v>172294681.24394932</v>
      </c>
      <c r="H41" s="14" t="s">
        <v>3</v>
      </c>
      <c r="I41" s="1"/>
    </row>
    <row r="42" spans="1:9" x14ac:dyDescent="0.25">
      <c r="A42" s="1"/>
      <c r="B42" s="47" t="s">
        <v>242</v>
      </c>
      <c r="C42" s="65"/>
      <c r="D42" s="65"/>
      <c r="E42" s="65"/>
      <c r="F42" s="66"/>
      <c r="G42" s="24">
        <f>G36*(1+'Fane 14. Nøgletal'!C14)</f>
        <v>703198.32170308218</v>
      </c>
      <c r="H42" s="14" t="s">
        <v>3</v>
      </c>
      <c r="I42" s="1"/>
    </row>
    <row r="43" spans="1:9" x14ac:dyDescent="0.25">
      <c r="A43" s="1"/>
      <c r="B43" s="106" t="s">
        <v>101</v>
      </c>
      <c r="C43" s="107"/>
      <c r="D43" s="107"/>
      <c r="E43" s="107"/>
      <c r="F43" s="108"/>
      <c r="G43" s="52">
        <v>0</v>
      </c>
      <c r="H43" s="14" t="s">
        <v>3</v>
      </c>
      <c r="I43" s="1"/>
    </row>
    <row r="44" spans="1:9" x14ac:dyDescent="0.25">
      <c r="A44" s="1"/>
      <c r="B44" s="106" t="s">
        <v>241</v>
      </c>
      <c r="C44" s="107"/>
      <c r="D44" s="107"/>
      <c r="E44" s="107"/>
      <c r="F44" s="108"/>
      <c r="G44" s="24">
        <f>(G41+G43)*'Fane 14. Nøgletal'!C24</f>
        <v>2549961.2824104503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25">
      <c r="A53" s="1"/>
      <c r="B53" s="106" t="s">
        <v>182</v>
      </c>
      <c r="C53" s="107"/>
      <c r="D53" s="107"/>
      <c r="E53" s="107"/>
      <c r="F53" s="108"/>
      <c r="G53" s="24">
        <f>(G41+G43-G44)*(1+'Fane 14. Nøgletal'!C14)</f>
        <v>170304877.53741199</v>
      </c>
      <c r="H53" s="14" t="s">
        <v>3</v>
      </c>
      <c r="I53" s="1"/>
    </row>
    <row r="54" spans="1:9" x14ac:dyDescent="0.25">
      <c r="A54" s="1"/>
      <c r="B54" s="106" t="s">
        <v>183</v>
      </c>
      <c r="C54" s="107"/>
      <c r="D54" s="107"/>
      <c r="E54" s="107"/>
      <c r="F54" s="108"/>
      <c r="G54" s="52">
        <v>0</v>
      </c>
      <c r="H54" s="14" t="s">
        <v>3</v>
      </c>
      <c r="I54" s="1"/>
    </row>
    <row r="55" spans="1:9" x14ac:dyDescent="0.25">
      <c r="A55" s="1"/>
      <c r="B55" s="106" t="s">
        <v>184</v>
      </c>
      <c r="C55" s="107"/>
      <c r="D55" s="107"/>
      <c r="E55" s="107"/>
      <c r="F55" s="108"/>
      <c r="G55" s="24">
        <f>(G53+G54)*'Fane 14. Nøgletal'!C24</f>
        <v>2520512.1875536977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25">
      <c r="A59" s="1"/>
      <c r="B59" s="106" t="s">
        <v>255</v>
      </c>
      <c r="C59" s="107"/>
      <c r="D59" s="107"/>
      <c r="E59" s="107"/>
      <c r="F59" s="108"/>
      <c r="G59" s="24">
        <f>(G53+G54-G55)*(1+'Fane 14. Nøgletal'!C14)</f>
        <v>168338053.75551283</v>
      </c>
      <c r="H59" s="14" t="s">
        <v>3</v>
      </c>
      <c r="I59" s="1"/>
    </row>
    <row r="60" spans="1:9" x14ac:dyDescent="0.25">
      <c r="A60" s="1"/>
      <c r="B60" s="106" t="s">
        <v>256</v>
      </c>
      <c r="C60" s="107"/>
      <c r="D60" s="107"/>
      <c r="E60" s="107"/>
      <c r="F60" s="108"/>
      <c r="G60" s="52">
        <v>0</v>
      </c>
      <c r="H60" s="14" t="s">
        <v>3</v>
      </c>
      <c r="I60" s="1"/>
    </row>
    <row r="61" spans="1:9" x14ac:dyDescent="0.25">
      <c r="A61" s="1"/>
      <c r="B61" s="106" t="s">
        <v>257</v>
      </c>
      <c r="C61" s="107"/>
      <c r="D61" s="107"/>
      <c r="E61" s="107"/>
      <c r="F61" s="108"/>
      <c r="G61" s="24">
        <f>(G59+G60)*'Fane 14. Nøgletal'!C24</f>
        <v>2491403.1955815898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7j6S7584Gv42copMtEv6cHOnW08PqhAMB76/WKesV5pgW9vUakBNKJffxSwCjINydKIheDtI8+g3KVcWHofw8w==" saltValue="Z6xTWvt/ZH1E4Ezyop42s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243</v>
      </c>
      <c r="C9" s="107"/>
      <c r="D9" s="107"/>
      <c r="E9" s="107"/>
      <c r="F9" s="108"/>
      <c r="G9" s="23">
        <v>2.485210490793512E-3</v>
      </c>
      <c r="H9" s="14"/>
      <c r="I9" s="1"/>
    </row>
    <row r="10" spans="1:9" x14ac:dyDescent="0.25">
      <c r="A10" s="1"/>
      <c r="B10" s="106" t="s">
        <v>86</v>
      </c>
      <c r="C10" s="107"/>
      <c r="D10" s="107"/>
      <c r="E10" s="107"/>
      <c r="F10" s="108"/>
      <c r="G10" s="23">
        <v>3.6063204159645116E-3</v>
      </c>
      <c r="H10" s="14"/>
      <c r="I10" s="1"/>
    </row>
    <row r="11" spans="1:9" x14ac:dyDescent="0.25">
      <c r="A11" s="1"/>
      <c r="B11" s="106" t="s">
        <v>87</v>
      </c>
      <c r="C11" s="107"/>
      <c r="D11" s="107"/>
      <c r="E11" s="107"/>
      <c r="F11" s="108"/>
      <c r="G11" s="41">
        <v>5.8078994768910267E-3</v>
      </c>
      <c r="H11" s="14"/>
      <c r="I11" s="1"/>
    </row>
    <row r="12" spans="1:9" x14ac:dyDescent="0.25">
      <c r="A12" s="1"/>
      <c r="B12" s="106" t="s">
        <v>206</v>
      </c>
      <c r="C12" s="107"/>
      <c r="D12" s="107"/>
      <c r="E12" s="107"/>
      <c r="F12" s="108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7" t="s">
        <v>207</v>
      </c>
      <c r="C14" s="117"/>
      <c r="D14" s="117"/>
      <c r="E14" s="117"/>
      <c r="F14" s="117"/>
      <c r="G14" s="117"/>
      <c r="H14" s="117"/>
      <c r="I14" s="1"/>
    </row>
    <row r="15" spans="1:9" ht="14.25" customHeight="1" x14ac:dyDescent="0.25">
      <c r="A15" s="18"/>
      <c r="B15" s="117"/>
      <c r="C15" s="117"/>
      <c r="D15" s="117"/>
      <c r="E15" s="117"/>
      <c r="F15" s="117"/>
      <c r="G15" s="117"/>
      <c r="H15" s="117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i3sUt2xnqWtBW7SdZi+08UMJ5E7qJ0UIBJy22w6l0baHPBau6x+jB6arIteXnfg8Pm7S/2MNAeEXsygEFXQCQ==" saltValue="ra96tg0rw8gBle/PM7PZl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2021-10-12T11:34:12Z</dcterms:modified>
</cp:coreProperties>
</file>