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Rudersdal AS (V156)\ØR2023\"/>
    </mc:Choice>
  </mc:AlternateContent>
  <bookViews>
    <workbookView xWindow="3120" yWindow="990" windowWidth="12750" windowHeight="4620" tabRatio="872" firstSheet="7" activeTab="7"/>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3" i="39" l="1"/>
  <c r="C13" i="39"/>
  <c r="E17" i="32" l="1"/>
  <c r="E16" i="32"/>
  <c r="E32" i="27" l="1"/>
  <c r="C19" i="23"/>
  <c r="C19" i="22"/>
  <c r="C19" i="15"/>
  <c r="C31" i="2"/>
  <c r="G18" i="40" l="1"/>
  <c r="E25" i="32" l="1"/>
  <c r="E29" i="32" s="1"/>
  <c r="E31" i="32" s="1"/>
  <c r="C17" i="15" l="1"/>
  <c r="C29" i="2"/>
  <c r="F10" i="11"/>
  <c r="E11" i="29" l="1"/>
  <c r="E12" i="29" s="1"/>
  <c r="C14" i="2" s="1"/>
  <c r="C11" i="29"/>
  <c r="J11" i="11"/>
  <c r="H11" i="11"/>
  <c r="C15" i="19"/>
  <c r="C16" i="19" l="1"/>
  <c r="F11" i="11" l="1"/>
  <c r="E10" i="37" s="1"/>
  <c r="C10" i="37"/>
  <c r="C13" i="37" s="1"/>
  <c r="C14" i="37" s="1"/>
  <c r="C15" i="23" l="1"/>
  <c r="C15" i="22" l="1"/>
  <c r="C15" i="15"/>
  <c r="C12" i="29"/>
  <c r="G36" i="36" l="1"/>
  <c r="G36" i="30"/>
  <c r="G6" i="30" l="1"/>
  <c r="E14" i="39" l="1"/>
  <c r="C14"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<sst xmlns="http://schemas.openxmlformats.org/spreadsheetml/2006/main" count="517" uniqueCount="255">
  <si>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</si>
  <si>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</si>
  <si>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</si>
  <si>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</si>
  <si>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</si>
  <si>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</si>
  <si>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</si>
  <si>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</si>
  <si>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</si>
  <si>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</si>
  <si>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</si>
  <si>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</si>
  <si>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</si>
  <si>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</si>
  <si>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</si>
  <si>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</si>
  <si>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</si>
  <si>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</si>
  <si>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</si>
  <si>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</si>
  <si>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</si>
  <si>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</si>
  <si>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</si>
  <si>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</si>
  <si>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</si>
  <si>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</si>
  <si>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</si>
  <si>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</si>
  <si>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</si>
  <si>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</si>
  <si>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</si>
  <si>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</si>
  <si>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</si>
  <si>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</si>
  <si>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</si>
  <si>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</si>
  <si>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</si>
  <si>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</si>
  <si>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</si>
  <si>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</si>
  <si>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</si>
  <si>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</si>
  <si>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</si>
  <si>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</si>
  <si>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</si>
  <si>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</si>
  <si>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</si>
  <si>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</si>
  <si>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</si>
  <si>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</si>
  <si>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</si>
  <si>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</si>
  <si>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</si>
  <si>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</si>
  <si>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</si>
  <si>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</si>
  <si>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</si>
  <si>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</si>
  <si>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</si>
  <si>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</si>
  <si>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</si>
  <si>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</si>
  <si>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</si>
  <si>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</si>
  <si>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</si>
  <si>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</si>
  <si>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</si>
  <si>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</si>
  <si>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</si>
  <si>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</si>
  <si>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</si>
  <si>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</si>
  <si>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</si>
  <si>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</si>
  <si>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</si>
  <si>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</si>
  <si>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</si>
  <si>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</si>
  <si>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</si>
  <si>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</si>
  <si>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</si>
  <si>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</si>
  <si>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</si>
  <si>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</si>
  <si>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</si>
  <si>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</si>
  <si>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</si>
  <si>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</si>
  <si>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</si>
  <si>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</si>
  <si>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</si>
  <si>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</si>
  <si>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</si>
  <si>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</si>
  <si>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</si>
  <si>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</si>
  <si>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</si>
  <si>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</si>
  <si>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</si>
  <si>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</si>
  <si>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</si>
  <si>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</si>
  <si>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</si>
  <si>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</si>
  <si>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</si>
  <si>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</si>
  <si>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</si>
  <si>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</si>
  <si>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</si>
  <si>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</si>
  <si>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</si>
  <si>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</si>
  <si>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</si>
  <si>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</si>
  <si>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</si>
  <si>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</si>
  <si>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</si>
  <si>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</si>
  <si>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</si>
  <si>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</si>
  <si>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</si>
  <si>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</si>
  <si>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</si>
  <si>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</si>
  <si>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</si>
  <si>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</si>
  <si>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</si>
  <si>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</si>
  <si>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</si>
  <si>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</si>
  <si>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</si>
  <si>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</si>
  <si>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</si>
  <si>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</si>
  <si>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</si>
  <si>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</si>
  <si>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</si>
  <si>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</si>
  <si>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</si>
  <si>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</si>
  <si>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</si>
  <si>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</si>
  <si>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</si>
  <si>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</si>
  <si>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</si>
  <si>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</si>
  <si>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</si>
  <si>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</si>
  <si>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</si>
  <si>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</si>
  <si>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</si>
  <si>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</si>
  <si>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</si>
  <si>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</si>
  <si>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</si>
  <si>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</si>
  <si>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</si>
  <si>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</si>
  <si>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</si>
  <si>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</si>
  <si>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</si>
  <si>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</si>
  <si>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</si>
  <si>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</si>
  <si>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</si>
  <si>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</si>
  <si>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</si>
  <si>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</si>
  <si>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</si>
  <si>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</si>
  <si>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</si>
  <si>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</si>
  <si>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</si>
  <si>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</si>
  <si>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</si>
  <si>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</si>
  <si>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</si>
  <si>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</si>
  <si>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</si>
  <si>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</si>
  <si>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</si>
  <si>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</si>
  <si>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</si>
  <si>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</si>
  <si>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</si>
  <si>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</si>
  <si>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</si>
  <si>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</si>
  <si>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</si>
  <si>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</si>
  <si>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</si>
  <si>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</si>
  <si>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</si>
  <si>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</si>
  <si>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</si>
  <si>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</si>
  <si>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</si>
  <si>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</si>
  <si>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</si>
  <si>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</si>
  <si>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</si>
  <si>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</si>
  <si>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</si>
  <si>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</si>
  <si>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</si>
  <si>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</si>
  <si>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</si>
  <si>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</si>
  <si>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</si>
  <si>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</si>
  <si>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</si>
  <si>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</si>
  <si>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</si>
  <si>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</si>
  <si>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</si>
  <si>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</si>
  <si>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</si>
  <si>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</si>
  <si>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</si>
  <si>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</si>
  <si>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</si>
  <si>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</si>
  <si>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</si>
  <si>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</si>
  <si>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</si>
  <si>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</si>
  <si>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</si>
  <si>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</si>
  <si>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</si>
  <si>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</si>
  <si>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</si>
  <si>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</si>
  <si>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</si>
  <si>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</si>
  <si>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</si>
  <si>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</si>
  <si>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</si>
  <si>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</si>
  <si>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</si>
  <si>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</si>
  <si>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</si>
  <si>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</si>
  <si>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</si>
  <si>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</si>
  <si>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</si>
  <si>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</si>
  <si>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</si>
  <si>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</si>
  <si>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</si>
  <si>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</si>
  <si>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</si>
  <si>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</si>
  <si>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</si>
  <si>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</si>
  <si>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Nye rensemetoder, sektionering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</si>
</sst>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8" borderId="1"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7" fillId="3" borderId="1"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view="pageLayout" zoomScaleNormal="100" workbookViewId="0">
      <selection activeCell="D13" sqref="D13:G13"/>
    </sheetView>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0" t="s">
        <v>4</v>
      </c>
      <c r="E6" s="90"/>
      <c r="F6" s="90"/>
      <c r="G6" s="90"/>
      <c r="H6" s="3"/>
      <c r="I6" s="1"/>
    </row>
    <row r="7" spans="1:9" ht="15" customHeight="1" x14ac:dyDescent="0.25">
      <c r="A7" s="1"/>
      <c r="B7" s="1"/>
      <c r="C7" s="3"/>
      <c r="D7" s="90"/>
      <c r="E7" s="90"/>
      <c r="F7" s="90"/>
      <c r="G7" s="90"/>
      <c r="H7" s="3"/>
      <c r="I7" s="1"/>
    </row>
    <row r="8" spans="1:9" ht="15.75" x14ac:dyDescent="0.25">
      <c r="A8" s="1"/>
      <c r="B8" s="1"/>
      <c r="C8" s="4"/>
      <c r="D8" s="92" t="s">
        <v>194</v>
      </c>
      <c r="E8" s="92"/>
      <c r="F8" s="92"/>
      <c r="G8" s="92"/>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1" t="s">
        <v>5</v>
      </c>
      <c r="E11" s="91"/>
      <c r="F11" s="91"/>
      <c r="G11" s="91"/>
      <c r="H11" s="5"/>
      <c r="I11" s="1"/>
    </row>
    <row r="12" spans="1:9" x14ac:dyDescent="0.25">
      <c r="A12" s="1"/>
      <c r="B12" s="1"/>
      <c r="C12" s="1"/>
      <c r="D12" s="1"/>
      <c r="E12" s="1"/>
      <c r="F12" s="1"/>
      <c r="G12" s="1"/>
      <c r="H12" s="1"/>
      <c r="I12" s="1"/>
    </row>
    <row r="13" spans="1:9" x14ac:dyDescent="0.25">
      <c r="A13" s="1"/>
      <c r="B13" s="1"/>
      <c r="C13" s="6" t="s">
        <v>6</v>
      </c>
      <c r="D13" s="87" t="s">
        <v>161</v>
      </c>
      <c r="E13" s="88"/>
      <c r="F13" s="88"/>
      <c r="G13" s="89"/>
      <c r="H13" s="1"/>
      <c r="I13" s="1"/>
    </row>
    <row r="14" spans="1:9" x14ac:dyDescent="0.25">
      <c r="A14" s="1"/>
      <c r="B14" s="1"/>
      <c r="C14" s="6" t="s">
        <v>14</v>
      </c>
      <c r="D14" s="87" t="s">
        <v>204</v>
      </c>
      <c r="E14" s="88"/>
      <c r="F14" s="88"/>
      <c r="G14" s="89"/>
      <c r="H14" s="1"/>
      <c r="I14" s="1"/>
    </row>
    <row r="15" spans="1:9" x14ac:dyDescent="0.25">
      <c r="A15" s="1"/>
      <c r="B15" s="1"/>
      <c r="C15" s="6" t="s">
        <v>32</v>
      </c>
      <c r="D15" s="87" t="s">
        <v>137</v>
      </c>
      <c r="E15" s="88"/>
      <c r="F15" s="88"/>
      <c r="G15" s="89"/>
      <c r="H15" s="1"/>
      <c r="I15" s="1"/>
    </row>
    <row r="16" spans="1:9" x14ac:dyDescent="0.25">
      <c r="A16" s="1"/>
      <c r="B16" s="1"/>
      <c r="C16" s="6" t="s">
        <v>33</v>
      </c>
      <c r="D16" s="87" t="s">
        <v>162</v>
      </c>
      <c r="E16" s="88"/>
      <c r="F16" s="88"/>
      <c r="G16" s="89"/>
      <c r="H16" s="1"/>
      <c r="I16" s="1"/>
    </row>
    <row r="17" spans="1:9" x14ac:dyDescent="0.25">
      <c r="A17" s="1"/>
      <c r="B17" s="1"/>
      <c r="C17" s="6" t="s">
        <v>110</v>
      </c>
      <c r="D17" s="87" t="s">
        <v>163</v>
      </c>
      <c r="E17" s="88"/>
      <c r="F17" s="88"/>
      <c r="G17" s="89"/>
      <c r="H17" s="1"/>
      <c r="I17" s="1"/>
    </row>
    <row r="18" spans="1:9" x14ac:dyDescent="0.25">
      <c r="A18" s="1"/>
      <c r="B18" s="1"/>
      <c r="C18" s="6" t="s">
        <v>94</v>
      </c>
      <c r="D18" s="93" t="s">
        <v>86</v>
      </c>
      <c r="E18" s="94"/>
      <c r="F18" s="94"/>
      <c r="G18" s="95"/>
      <c r="H18" s="1"/>
      <c r="I18" s="1"/>
    </row>
    <row r="19" spans="1:9" x14ac:dyDescent="0.25">
      <c r="A19" s="1"/>
      <c r="B19" s="1"/>
      <c r="C19" s="6" t="s">
        <v>95</v>
      </c>
      <c r="D19" s="93" t="s">
        <v>87</v>
      </c>
      <c r="E19" s="94"/>
      <c r="F19" s="94"/>
      <c r="G19" s="95"/>
      <c r="H19" s="1"/>
      <c r="I19" s="1"/>
    </row>
    <row r="20" spans="1:9" x14ac:dyDescent="0.25">
      <c r="A20" s="1"/>
      <c r="B20" s="1"/>
      <c r="C20" s="6" t="s">
        <v>7</v>
      </c>
      <c r="D20" s="93" t="s">
        <v>9</v>
      </c>
      <c r="E20" s="94"/>
      <c r="F20" s="94"/>
      <c r="G20" s="95"/>
      <c r="H20" s="1"/>
      <c r="I20" s="1"/>
    </row>
    <row r="21" spans="1:9" x14ac:dyDescent="0.25">
      <c r="A21" s="1"/>
      <c r="B21" s="1"/>
      <c r="C21" s="6" t="s">
        <v>96</v>
      </c>
      <c r="D21" s="84" t="s">
        <v>11</v>
      </c>
      <c r="E21" s="85"/>
      <c r="F21" s="85"/>
      <c r="G21" s="86"/>
      <c r="H21" s="1"/>
      <c r="I21" s="1"/>
    </row>
    <row r="22" spans="1:9" x14ac:dyDescent="0.25">
      <c r="A22" s="1"/>
      <c r="B22" s="1"/>
      <c r="C22" s="6" t="s">
        <v>78</v>
      </c>
      <c r="D22" s="78" t="s">
        <v>164</v>
      </c>
      <c r="E22" s="79"/>
      <c r="F22" s="79"/>
      <c r="G22" s="80"/>
      <c r="H22" s="1"/>
      <c r="I22" s="1"/>
    </row>
    <row r="23" spans="1:9" x14ac:dyDescent="0.25">
      <c r="A23" s="1"/>
      <c r="B23" s="1"/>
      <c r="C23" s="6" t="s">
        <v>8</v>
      </c>
      <c r="D23" s="78" t="s">
        <v>219</v>
      </c>
      <c r="E23" s="79"/>
      <c r="F23" s="79"/>
      <c r="G23" s="80"/>
      <c r="H23" s="1"/>
      <c r="I23" s="1"/>
    </row>
    <row r="24" spans="1:9" x14ac:dyDescent="0.25">
      <c r="A24" s="1"/>
      <c r="B24" s="1"/>
      <c r="C24" s="6" t="s">
        <v>215</v>
      </c>
      <c r="D24" s="78" t="s">
        <v>205</v>
      </c>
      <c r="E24" s="79"/>
      <c r="F24" s="79"/>
      <c r="G24" s="80"/>
      <c r="H24" s="1"/>
      <c r="I24" s="1"/>
    </row>
    <row r="25" spans="1:9" x14ac:dyDescent="0.25">
      <c r="A25" s="1"/>
      <c r="B25" s="1"/>
      <c r="C25" s="6" t="s">
        <v>216</v>
      </c>
      <c r="D25" s="78" t="s">
        <v>79</v>
      </c>
      <c r="E25" s="79"/>
      <c r="F25" s="79"/>
      <c r="G25" s="80"/>
      <c r="H25" s="1"/>
      <c r="I25" s="1"/>
    </row>
    <row r="26" spans="1:9" x14ac:dyDescent="0.25">
      <c r="A26" s="1"/>
      <c r="B26" s="1"/>
      <c r="C26" s="6" t="s">
        <v>217</v>
      </c>
      <c r="D26" s="78" t="s">
        <v>80</v>
      </c>
      <c r="E26" s="79"/>
      <c r="F26" s="79"/>
      <c r="G26" s="80"/>
      <c r="H26" s="1"/>
      <c r="I26" s="1"/>
    </row>
    <row r="27" spans="1:9" x14ac:dyDescent="0.25">
      <c r="A27" s="1"/>
      <c r="B27" s="1"/>
      <c r="C27" s="6" t="s">
        <v>97</v>
      </c>
      <c r="D27" s="78" t="s">
        <v>111</v>
      </c>
      <c r="E27" s="79"/>
      <c r="F27" s="79"/>
      <c r="G27" s="80"/>
      <c r="H27" s="1"/>
      <c r="I27" s="1"/>
    </row>
    <row r="28" spans="1:9" x14ac:dyDescent="0.25">
      <c r="A28" s="1"/>
      <c r="B28" s="1"/>
      <c r="C28" s="6" t="s">
        <v>91</v>
      </c>
      <c r="D28" s="78" t="s">
        <v>34</v>
      </c>
      <c r="E28" s="79"/>
      <c r="F28" s="79"/>
      <c r="G28" s="80"/>
      <c r="H28" s="1"/>
      <c r="I28" s="1"/>
    </row>
    <row r="29" spans="1:9" x14ac:dyDescent="0.25">
      <c r="A29" s="1"/>
      <c r="B29" s="1"/>
      <c r="C29" s="6" t="s">
        <v>218</v>
      </c>
      <c r="D29" s="81" t="s">
        <v>92</v>
      </c>
      <c r="E29" s="82"/>
      <c r="F29" s="82"/>
      <c r="G29" s="8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5pCdrcXgkTO0yAK+G0iM7HuX25pgH5/jzP99144aiFWbKeiT1ec+ZrHUG70qA+Rg5LO9VpDMWbzSgvq8wSsJZg==" saltValue="uKooajrn2qZDwCEw/uT+R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election activeCell="C22" sqref="C22"/>
    </sheetView>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6" t="s">
        <v>100</v>
      </c>
      <c r="C3" s="96"/>
      <c r="D3" s="96"/>
      <c r="E3" s="1"/>
      <c r="F3" s="1"/>
    </row>
    <row r="4" spans="1:6" ht="15" customHeight="1" x14ac:dyDescent="0.25">
      <c r="A4" s="1"/>
      <c r="B4" s="96"/>
      <c r="C4" s="96"/>
      <c r="D4" s="9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181</v>
      </c>
      <c r="C8" s="120"/>
      <c r="D8" s="121"/>
      <c r="E8" s="1"/>
      <c r="F8" s="1"/>
    </row>
    <row r="9" spans="1:6" ht="15" customHeight="1" x14ac:dyDescent="0.25">
      <c r="A9" s="1"/>
      <c r="B9" s="32" t="s">
        <v>30</v>
      </c>
      <c r="C9" s="11" t="s">
        <v>212</v>
      </c>
      <c r="D9" s="11"/>
      <c r="E9" s="1"/>
      <c r="F9" s="1"/>
    </row>
    <row r="10" spans="1:6" x14ac:dyDescent="0.25">
      <c r="A10" s="1"/>
      <c r="B10" s="75" t="s">
        <v>231</v>
      </c>
      <c r="C10" s="9">
        <v>12039553</v>
      </c>
      <c r="D10" s="14" t="s">
        <v>3</v>
      </c>
      <c r="E10" s="1"/>
      <c r="F10" s="1"/>
    </row>
    <row r="11" spans="1:6" x14ac:dyDescent="0.25">
      <c r="A11" s="1"/>
      <c r="B11" s="75" t="s">
        <v>232</v>
      </c>
      <c r="C11" s="9">
        <v>97401</v>
      </c>
      <c r="D11" s="14" t="s">
        <v>3</v>
      </c>
      <c r="E11" s="1"/>
      <c r="F11" s="1"/>
    </row>
    <row r="12" spans="1:6" x14ac:dyDescent="0.25">
      <c r="A12" s="1"/>
      <c r="B12" s="75" t="s">
        <v>233</v>
      </c>
      <c r="C12" s="9">
        <v>54185</v>
      </c>
      <c r="D12" s="14" t="s">
        <v>3</v>
      </c>
      <c r="E12" s="1"/>
      <c r="F12" s="1"/>
    </row>
    <row r="13" spans="1:6" x14ac:dyDescent="0.25">
      <c r="A13" s="1"/>
      <c r="B13" s="75" t="s">
        <v>234</v>
      </c>
      <c r="C13" s="9">
        <v>83022</v>
      </c>
      <c r="D13" s="14" t="s">
        <v>3</v>
      </c>
      <c r="E13" s="1"/>
      <c r="F13" s="1"/>
    </row>
    <row r="14" spans="1:6" x14ac:dyDescent="0.25">
      <c r="A14" s="1"/>
      <c r="B14" s="75" t="s">
        <v>235</v>
      </c>
      <c r="C14" s="9">
        <v>78823</v>
      </c>
      <c r="D14" s="14" t="s">
        <v>3</v>
      </c>
      <c r="E14" s="1"/>
      <c r="F14" s="1"/>
    </row>
    <row r="15" spans="1:6" x14ac:dyDescent="0.25">
      <c r="A15" s="1"/>
      <c r="B15" s="67" t="s">
        <v>182</v>
      </c>
      <c r="C15" s="12">
        <f>SUM(C10:C14)</f>
        <v>12352984</v>
      </c>
      <c r="D15" s="13" t="s">
        <v>3</v>
      </c>
      <c r="E15" s="1"/>
      <c r="F15" s="1"/>
    </row>
    <row r="16" spans="1:6" x14ac:dyDescent="0.25">
      <c r="A16" s="1"/>
      <c r="B16" s="67" t="s">
        <v>183</v>
      </c>
      <c r="C16" s="12">
        <f>C15*(1+'Fane 13. Nøgletal'!C15)^2</f>
        <v>13248172.138602242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DnW7mmSL6irkB0mkKHcUZ1MbeLYTaOdlMTkH+0vMA/lc8vTN5ikEkbGVrNFPtUjBBnCJztqHbZHTAywvy030aQ==" saltValue="lgRSV7mS3YPKk5TR3ORfu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topLeftCell="A19"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4" t="s">
        <v>184</v>
      </c>
      <c r="C3" s="104"/>
      <c r="D3" s="104"/>
      <c r="E3" s="104"/>
      <c r="F3" s="104"/>
      <c r="G3" s="1"/>
    </row>
    <row r="4" spans="1:7" ht="15" customHeight="1" x14ac:dyDescent="0.25">
      <c r="A4" s="1"/>
      <c r="B4" s="104"/>
      <c r="C4" s="104"/>
      <c r="D4" s="104"/>
      <c r="E4" s="104"/>
      <c r="F4" s="104"/>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19" t="s">
        <v>155</v>
      </c>
      <c r="C8" s="120"/>
      <c r="D8" s="120"/>
      <c r="E8" s="120"/>
      <c r="F8" s="121"/>
      <c r="G8" s="1"/>
    </row>
    <row r="9" spans="1:7" x14ac:dyDescent="0.25">
      <c r="A9" s="1"/>
      <c r="B9" s="122" t="s">
        <v>156</v>
      </c>
      <c r="C9" s="123"/>
      <c r="D9" s="124"/>
      <c r="E9" s="9">
        <v>-632770</v>
      </c>
      <c r="F9" s="14" t="s">
        <v>3</v>
      </c>
      <c r="G9" s="1"/>
    </row>
    <row r="10" spans="1:7" x14ac:dyDescent="0.25">
      <c r="A10" s="1"/>
      <c r="B10" s="138" t="s">
        <v>236</v>
      </c>
      <c r="C10" s="139"/>
      <c r="D10" s="140"/>
      <c r="E10" s="9">
        <v>0</v>
      </c>
      <c r="F10" s="50" t="s">
        <v>3</v>
      </c>
      <c r="G10" s="1"/>
    </row>
    <row r="11" spans="1:7" x14ac:dyDescent="0.25">
      <c r="A11" s="1"/>
      <c r="B11" s="122" t="s">
        <v>185</v>
      </c>
      <c r="C11" s="123"/>
      <c r="D11" s="124"/>
      <c r="E11" s="9">
        <v>-1199545.9202895164</v>
      </c>
      <c r="F11" s="14" t="s">
        <v>3</v>
      </c>
      <c r="G11" s="1"/>
    </row>
    <row r="12" spans="1:7" x14ac:dyDescent="0.25">
      <c r="A12" s="1"/>
      <c r="B12" s="67"/>
      <c r="C12" s="68"/>
      <c r="D12" s="68"/>
      <c r="E12" s="68"/>
      <c r="F12" s="19"/>
      <c r="G12" s="1"/>
    </row>
    <row r="13" spans="1:7" ht="64.900000000000006" customHeight="1" x14ac:dyDescent="0.25">
      <c r="A13" s="1"/>
      <c r="B13" s="108" t="s">
        <v>252</v>
      </c>
      <c r="C13" s="109"/>
      <c r="D13" s="109"/>
      <c r="E13" s="109"/>
      <c r="F13" s="110"/>
      <c r="G13" s="1"/>
    </row>
    <row r="14" spans="1:7" ht="27" customHeight="1" x14ac:dyDescent="0.25">
      <c r="A14" s="1"/>
      <c r="B14" s="1"/>
      <c r="C14" s="1"/>
      <c r="D14" s="1"/>
      <c r="E14" s="1"/>
      <c r="F14" s="1"/>
      <c r="G14" s="1"/>
    </row>
    <row r="15" spans="1:7" ht="28.5" customHeight="1" x14ac:dyDescent="0.25">
      <c r="A15" s="1"/>
      <c r="B15" s="119" t="s">
        <v>157</v>
      </c>
      <c r="C15" s="120"/>
      <c r="D15" s="120"/>
      <c r="E15" s="120"/>
      <c r="F15" s="121"/>
      <c r="G15" s="1"/>
    </row>
    <row r="16" spans="1:7" x14ac:dyDescent="0.25">
      <c r="A16" s="1"/>
      <c r="B16" s="122" t="s">
        <v>237</v>
      </c>
      <c r="C16" s="123"/>
      <c r="D16" s="124"/>
      <c r="E16" s="9">
        <f>-287048.307151658*2</f>
        <v>-574096.61430331599</v>
      </c>
      <c r="F16" s="14" t="s">
        <v>3</v>
      </c>
      <c r="G16" s="1"/>
    </row>
    <row r="17" spans="1:7" x14ac:dyDescent="0.25">
      <c r="A17" s="1"/>
      <c r="B17" s="122" t="s">
        <v>238</v>
      </c>
      <c r="C17" s="123"/>
      <c r="D17" s="124"/>
      <c r="E17" s="9">
        <f>-287048.307151658*2</f>
        <v>-574096.61430331599</v>
      </c>
      <c r="F17" s="14" t="s">
        <v>3</v>
      </c>
      <c r="G17" s="1"/>
    </row>
    <row r="18" spans="1:7" x14ac:dyDescent="0.25">
      <c r="A18" s="1"/>
      <c r="B18" s="67"/>
      <c r="C18" s="68"/>
      <c r="D18" s="68"/>
      <c r="E18" s="68"/>
      <c r="F18" s="19"/>
      <c r="G18" s="1"/>
    </row>
    <row r="19" spans="1:7" ht="31.5" customHeight="1" x14ac:dyDescent="0.25">
      <c r="A19" s="1"/>
      <c r="B19" s="108" t="s">
        <v>158</v>
      </c>
      <c r="C19" s="109"/>
      <c r="D19" s="109"/>
      <c r="E19" s="109"/>
      <c r="F19" s="110"/>
      <c r="G19" s="1"/>
    </row>
    <row r="20" spans="1:7" ht="28.5" customHeight="1" x14ac:dyDescent="0.25">
      <c r="A20" s="1"/>
      <c r="B20" s="1"/>
      <c r="C20" s="1"/>
      <c r="D20" s="1"/>
      <c r="E20" s="1"/>
      <c r="F20" s="1"/>
      <c r="G20" s="1"/>
    </row>
    <row r="21" spans="1:7" ht="28.5" customHeight="1" x14ac:dyDescent="0.25">
      <c r="A21" s="1"/>
      <c r="B21" s="69" t="s">
        <v>186</v>
      </c>
      <c r="C21" s="70"/>
      <c r="D21" s="70"/>
      <c r="E21" s="70"/>
      <c r="F21" s="71"/>
      <c r="G21" s="1"/>
    </row>
    <row r="22" spans="1:7" x14ac:dyDescent="0.25">
      <c r="A22" s="1"/>
      <c r="B22" s="72" t="s">
        <v>239</v>
      </c>
      <c r="C22" s="73"/>
      <c r="D22" s="74"/>
      <c r="E22" s="9">
        <v>27368643.559656128</v>
      </c>
      <c r="F22" s="14" t="s">
        <v>3</v>
      </c>
      <c r="G22" s="1"/>
    </row>
    <row r="23" spans="1:7" x14ac:dyDescent="0.25">
      <c r="A23" s="1"/>
      <c r="B23" s="72" t="s">
        <v>187</v>
      </c>
      <c r="C23" s="73"/>
      <c r="D23" s="74"/>
      <c r="E23" s="9">
        <v>29827869</v>
      </c>
      <c r="F23" s="14" t="s">
        <v>3</v>
      </c>
      <c r="G23" s="1"/>
    </row>
    <row r="24" spans="1:7" x14ac:dyDescent="0.25">
      <c r="A24" s="1"/>
      <c r="B24" s="72" t="s">
        <v>31</v>
      </c>
      <c r="C24" s="73"/>
      <c r="D24" s="74"/>
      <c r="E24" s="9">
        <v>0</v>
      </c>
      <c r="F24" s="14" t="s">
        <v>3</v>
      </c>
      <c r="G24" s="1"/>
    </row>
    <row r="25" spans="1:7" x14ac:dyDescent="0.25">
      <c r="A25" s="1"/>
      <c r="B25" s="47" t="s">
        <v>253</v>
      </c>
      <c r="C25" s="48"/>
      <c r="D25" s="49"/>
      <c r="E25" s="53">
        <f>E22-(E23-E24)</f>
        <v>-2459225.4403438717</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19" t="s">
        <v>240</v>
      </c>
      <c r="C28" s="120"/>
      <c r="D28" s="120"/>
      <c r="E28" s="120"/>
      <c r="F28" s="121"/>
      <c r="G28" s="1"/>
    </row>
    <row r="29" spans="1:7" x14ac:dyDescent="0.25">
      <c r="A29" s="1"/>
      <c r="B29" s="141" t="s">
        <v>128</v>
      </c>
      <c r="C29" s="142"/>
      <c r="D29" s="14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-3607418.6689505037</v>
      </c>
      <c r="F29" s="14" t="s">
        <v>3</v>
      </c>
      <c r="G29" s="1"/>
    </row>
    <row r="30" spans="1:7" x14ac:dyDescent="0.25">
      <c r="A30" s="1"/>
      <c r="B30" s="141" t="s">
        <v>93</v>
      </c>
      <c r="C30" s="142"/>
      <c r="D30" s="143"/>
      <c r="E30" s="9">
        <v>2</v>
      </c>
      <c r="F30" s="14" t="s">
        <v>18</v>
      </c>
      <c r="G30" s="1"/>
    </row>
    <row r="31" spans="1:7" x14ac:dyDescent="0.25">
      <c r="A31" s="1"/>
      <c r="B31" s="134" t="s">
        <v>127</v>
      </c>
      <c r="C31" s="134"/>
      <c r="D31" s="134"/>
      <c r="E31" s="10">
        <f>E29/E30</f>
        <v>-1803709.3344752518</v>
      </c>
      <c r="F31" s="17" t="s">
        <v>3</v>
      </c>
      <c r="G31" s="1"/>
    </row>
    <row r="32" spans="1:7" x14ac:dyDescent="0.25">
      <c r="A32" s="1"/>
      <c r="B32" s="135"/>
      <c r="C32" s="136"/>
      <c r="D32" s="136"/>
      <c r="E32" s="136"/>
      <c r="F32" s="13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ma9J308wrEHRFaUy6i191Ca94sKCymyIdT08CzcL/l3zc1SmI0FgvRgf4gY7dH/sBJcL5mg3opaegA9+J+Xt9g==" saltValue="ki5iD2WQuNxj0O0fp9/WwQ=="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election activeCell="B9" sqref="B9:H9"/>
    </sheetView>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6" t="s">
        <v>226</v>
      </c>
      <c r="C3" s="96"/>
      <c r="D3" s="96"/>
      <c r="E3" s="96"/>
      <c r="F3" s="96"/>
      <c r="G3" s="96"/>
      <c r="H3" s="96"/>
      <c r="I3" s="1"/>
    </row>
    <row r="4" spans="1:9" ht="15" customHeight="1" x14ac:dyDescent="0.25">
      <c r="A4" s="1"/>
      <c r="B4" s="96"/>
      <c r="C4" s="96"/>
      <c r="D4" s="96"/>
      <c r="E4" s="96"/>
      <c r="F4" s="96"/>
      <c r="G4" s="96"/>
      <c r="H4" s="9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227</v>
      </c>
      <c r="C8" s="120"/>
      <c r="D8" s="120"/>
      <c r="E8" s="120"/>
      <c r="F8" s="120"/>
      <c r="G8" s="120"/>
      <c r="H8" s="121"/>
      <c r="I8" s="1"/>
    </row>
    <row r="9" spans="1:9" ht="15" customHeight="1" x14ac:dyDescent="0.25">
      <c r="A9" s="1"/>
      <c r="B9" s="114" t="s">
        <v>228</v>
      </c>
      <c r="C9" s="115"/>
      <c r="D9" s="115"/>
      <c r="E9" s="115"/>
      <c r="F9" s="115"/>
      <c r="G9" s="115"/>
      <c r="H9" s="116"/>
      <c r="I9" s="1"/>
    </row>
    <row r="10" spans="1:9" x14ac:dyDescent="0.25">
      <c r="A10" s="1"/>
      <c r="B10" s="144" t="s">
        <v>243</v>
      </c>
      <c r="C10" s="145"/>
      <c r="D10" s="145"/>
      <c r="E10" s="145"/>
      <c r="F10" s="146"/>
      <c r="G10" s="52">
        <v>0</v>
      </c>
      <c r="H10" s="9" t="s">
        <v>3</v>
      </c>
      <c r="I10" s="1"/>
    </row>
    <row r="11" spans="1:9" x14ac:dyDescent="0.25">
      <c r="A11" s="1"/>
      <c r="B11" s="144" t="s">
        <v>244</v>
      </c>
      <c r="C11" s="145"/>
      <c r="D11" s="145"/>
      <c r="E11" s="145"/>
      <c r="F11" s="146"/>
      <c r="G11" s="52">
        <v>0</v>
      </c>
      <c r="H11" s="9" t="s">
        <v>3</v>
      </c>
      <c r="I11" s="1"/>
    </row>
    <row r="12" spans="1:9" x14ac:dyDescent="0.25">
      <c r="A12" s="1"/>
      <c r="B12" s="144" t="s">
        <v>245</v>
      </c>
      <c r="C12" s="145"/>
      <c r="D12" s="145"/>
      <c r="E12" s="145"/>
      <c r="F12" s="146"/>
      <c r="G12" s="9">
        <v>0</v>
      </c>
      <c r="H12" s="9" t="s">
        <v>3</v>
      </c>
      <c r="I12" s="1"/>
    </row>
    <row r="13" spans="1:9" x14ac:dyDescent="0.25">
      <c r="A13" s="1"/>
      <c r="B13" s="144" t="s">
        <v>246</v>
      </c>
      <c r="C13" s="145"/>
      <c r="D13" s="145"/>
      <c r="E13" s="145"/>
      <c r="F13" s="146"/>
      <c r="G13" s="9">
        <v>0</v>
      </c>
      <c r="H13" s="9" t="s">
        <v>3</v>
      </c>
      <c r="I13" s="1"/>
    </row>
    <row r="14" spans="1:9" x14ac:dyDescent="0.25">
      <c r="A14" s="1"/>
      <c r="B14" s="144" t="s">
        <v>247</v>
      </c>
      <c r="C14" s="145"/>
      <c r="D14" s="145"/>
      <c r="E14" s="145"/>
      <c r="F14" s="146"/>
      <c r="G14" s="9">
        <v>0</v>
      </c>
      <c r="H14" s="9" t="s">
        <v>3</v>
      </c>
      <c r="I14" s="1"/>
    </row>
    <row r="15" spans="1:9" x14ac:dyDescent="0.25">
      <c r="A15" s="1"/>
      <c r="B15" s="144" t="s">
        <v>248</v>
      </c>
      <c r="C15" s="145"/>
      <c r="D15" s="145"/>
      <c r="E15" s="145"/>
      <c r="F15" s="146"/>
      <c r="G15" s="9">
        <v>0</v>
      </c>
      <c r="H15" s="9" t="s">
        <v>3</v>
      </c>
      <c r="I15" s="1"/>
    </row>
    <row r="16" spans="1:9" x14ac:dyDescent="0.25">
      <c r="A16" s="1"/>
      <c r="B16" s="144" t="s">
        <v>249</v>
      </c>
      <c r="C16" s="145"/>
      <c r="D16" s="145"/>
      <c r="E16" s="145"/>
      <c r="F16" s="146"/>
      <c r="G16" s="9">
        <v>0</v>
      </c>
      <c r="H16" s="9" t="s">
        <v>3</v>
      </c>
      <c r="I16" s="1"/>
    </row>
    <row r="17" spans="1:9" x14ac:dyDescent="0.25">
      <c r="A17" s="1"/>
      <c r="B17" s="144" t="s">
        <v>250</v>
      </c>
      <c r="C17" s="145"/>
      <c r="D17" s="145"/>
      <c r="E17" s="145"/>
      <c r="F17" s="146"/>
      <c r="G17" s="9">
        <v>0</v>
      </c>
      <c r="H17" s="9" t="s">
        <v>3</v>
      </c>
      <c r="I17" s="1"/>
    </row>
    <row r="18" spans="1:9" x14ac:dyDescent="0.25">
      <c r="A18" s="1"/>
      <c r="B18" s="119" t="s">
        <v>229</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6Ca8517GTW3T+OZCvQO9eNxEom4l0u0K9nHAM3OkqR4caoNpbPEfJBmHAG1lYWtEdjjRrM0Fq9xt6H705OQmWQ==" saltValue="Gc7/yGxX3nA3k+GY4vAIK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election activeCell="H28" sqref="H28"/>
    </sheetView>
  </sheetViews>
  <sheetFormatPr defaultColWidth="9" defaultRowHeight="15" x14ac:dyDescent="0.25"/>
  <cols>
    <col min="1" max="1" width="3.85546875" style="2" customWidth="1"/>
    <col min="2" max="2" width="20.28515625" style="2" customWidth="1"/>
    <col min="3" max="3" width="7.28515625" style="2" customWidth="1"/>
    <col min="4" max="4" width="9.28515625" style="2" customWidth="1"/>
    <col min="5" max="5" width="4.140625" style="2" customWidth="1"/>
    <col min="6" max="6" width="10" style="2" customWidth="1"/>
    <col min="7" max="7" width="2.85546875" style="2" customWidth="1"/>
    <col min="8" max="8" width="9.42578125" style="2" customWidth="1"/>
    <col min="9" max="9" width="2.570312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6" t="s">
        <v>220</v>
      </c>
      <c r="C3" s="96"/>
      <c r="D3" s="96"/>
      <c r="E3" s="96"/>
      <c r="F3" s="96"/>
      <c r="G3" s="96"/>
      <c r="H3" s="96"/>
      <c r="I3" s="96"/>
      <c r="J3" s="96"/>
      <c r="K3" s="96"/>
      <c r="L3" s="1"/>
    </row>
    <row r="4" spans="1:12" ht="15" customHeight="1" x14ac:dyDescent="0.25">
      <c r="A4" s="1"/>
      <c r="B4" s="96"/>
      <c r="C4" s="96"/>
      <c r="D4" s="96"/>
      <c r="E4" s="96"/>
      <c r="F4" s="96"/>
      <c r="G4" s="96"/>
      <c r="H4" s="96"/>
      <c r="I4" s="96"/>
      <c r="J4" s="96"/>
      <c r="K4" s="9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192</v>
      </c>
      <c r="C8" s="120"/>
      <c r="D8" s="120"/>
      <c r="E8" s="120"/>
      <c r="F8" s="120"/>
      <c r="G8" s="120"/>
      <c r="H8" s="120"/>
      <c r="I8" s="120"/>
      <c r="J8" s="120"/>
      <c r="K8" s="121"/>
      <c r="L8" s="1"/>
    </row>
    <row r="9" spans="1:12" ht="39.75" customHeight="1" x14ac:dyDescent="0.25">
      <c r="A9" s="1"/>
      <c r="B9" s="18" t="s">
        <v>0</v>
      </c>
      <c r="C9" s="18" t="s">
        <v>1</v>
      </c>
      <c r="D9" s="147" t="s">
        <v>213</v>
      </c>
      <c r="E9" s="148"/>
      <c r="F9" s="147" t="s">
        <v>2</v>
      </c>
      <c r="G9" s="148"/>
      <c r="H9" s="147" t="s">
        <v>214</v>
      </c>
      <c r="I9" s="148"/>
      <c r="J9" s="147" t="s">
        <v>28</v>
      </c>
      <c r="K9" s="148"/>
      <c r="L9" s="1"/>
    </row>
    <row r="10" spans="1:12" x14ac:dyDescent="0.25">
      <c r="A10" s="1"/>
      <c r="B10" s="29" t="s">
        <v>230</v>
      </c>
      <c r="C10" s="29">
        <v>0</v>
      </c>
      <c r="D10" s="9">
        <v>0</v>
      </c>
      <c r="E10" s="14" t="s">
        <v>3</v>
      </c>
      <c r="F10" s="35">
        <f>IFERROR(D10/C10,0)</f>
        <v>0</v>
      </c>
      <c r="G10" s="14" t="s">
        <v>3</v>
      </c>
      <c r="H10" s="9">
        <v>0</v>
      </c>
      <c r="I10" s="14" t="s">
        <v>3</v>
      </c>
      <c r="J10" s="9">
        <v>0</v>
      </c>
      <c r="K10" s="14" t="s">
        <v>3</v>
      </c>
      <c r="L10" s="1"/>
    </row>
    <row r="11" spans="1:12" x14ac:dyDescent="0.25">
      <c r="A11" s="1"/>
      <c r="B11" s="67" t="s">
        <v>193</v>
      </c>
      <c r="C11" s="68"/>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G47NEJirtcojfDKpkLFr4aLNtW6vFRWmFvNDOBAtRjJEXyg1wfygDPqvyqDDfum4sPWVROM9fqDWS2FZ2ySErA==" saltValue="Pvf/coLfMqLL7LevsssYw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election activeCell="E13" sqref="E13"/>
    </sheetView>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221</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6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254</v>
      </c>
      <c r="C11" s="21">
        <v>363334</v>
      </c>
      <c r="D11" s="14" t="s">
        <v>3</v>
      </c>
      <c r="E11" s="9">
        <v>789547</v>
      </c>
      <c r="F11" s="14" t="s">
        <v>3</v>
      </c>
      <c r="G11" s="1"/>
    </row>
    <row r="12" spans="1:7" x14ac:dyDescent="0.25">
      <c r="A12" s="1"/>
      <c r="B12" s="26" t="s">
        <v>251</v>
      </c>
      <c r="C12" s="21">
        <v>42844</v>
      </c>
      <c r="D12" s="14" t="s">
        <v>3</v>
      </c>
      <c r="E12" s="9">
        <v>11092</v>
      </c>
      <c r="F12" s="14" t="s">
        <v>3</v>
      </c>
      <c r="G12" s="1"/>
    </row>
    <row r="13" spans="1:7" x14ac:dyDescent="0.25">
      <c r="A13" s="1"/>
      <c r="B13" s="67" t="s">
        <v>148</v>
      </c>
      <c r="C13" s="12">
        <f>SUM(C10:C12)</f>
        <v>406178</v>
      </c>
      <c r="D13" s="13" t="s">
        <v>3</v>
      </c>
      <c r="E13" s="12">
        <f>SUM(E10:E12)</f>
        <v>800639</v>
      </c>
      <c r="F13" s="13" t="s">
        <v>3</v>
      </c>
      <c r="G13" s="1"/>
    </row>
    <row r="14" spans="1:7" x14ac:dyDescent="0.25">
      <c r="A14" s="1"/>
      <c r="B14" s="67" t="s">
        <v>188</v>
      </c>
      <c r="C14" s="12">
        <f>C13*(1+'Fane 13. Nøgletal'!C15)</f>
        <v>420637.93680000002</v>
      </c>
      <c r="D14" s="13" t="s">
        <v>3</v>
      </c>
      <c r="E14" s="12">
        <f>E13*(1+'Fane 13. Nøgletal'!C15)</f>
        <v>829141.74840000004</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IJBVnzYzRTHRy6d4anqQM/aK/UOIFCqaxyCGprDt3exQpPxk0ClV0aSNtS/htt4mRk9NElmnN5RU7hysekOWA==" saltValue="mWlHCnOkre64pwjSuFAxJ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222</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9" t="s">
        <v>88</v>
      </c>
      <c r="C9" s="120"/>
      <c r="D9" s="120"/>
      <c r="E9" s="120"/>
      <c r="F9" s="121"/>
      <c r="G9" s="1"/>
    </row>
    <row r="10" spans="1:7" ht="26.25" x14ac:dyDescent="0.25">
      <c r="A10" s="1"/>
      <c r="B10" s="65" t="s">
        <v>15</v>
      </c>
      <c r="C10" s="65" t="s">
        <v>10</v>
      </c>
      <c r="D10" s="66"/>
      <c r="E10" s="65" t="s">
        <v>29</v>
      </c>
      <c r="F10" s="62"/>
      <c r="G10" s="1"/>
    </row>
    <row r="11" spans="1:7" x14ac:dyDescent="0.25">
      <c r="A11" s="1"/>
      <c r="B11" s="22" t="s">
        <v>254</v>
      </c>
      <c r="C11" s="21">
        <v>0</v>
      </c>
      <c r="D11" s="14" t="s">
        <v>3</v>
      </c>
      <c r="E11" s="9">
        <v>137330</v>
      </c>
      <c r="F11" s="14" t="s">
        <v>3</v>
      </c>
      <c r="G11" s="1"/>
    </row>
    <row r="12" spans="1:7" x14ac:dyDescent="0.25">
      <c r="A12" s="1"/>
      <c r="B12" s="22" t="s">
        <v>251</v>
      </c>
      <c r="C12" s="21">
        <v>0</v>
      </c>
      <c r="D12" s="14" t="s">
        <v>3</v>
      </c>
      <c r="E12" s="9">
        <v>3861</v>
      </c>
      <c r="F12" s="14" t="s">
        <v>3</v>
      </c>
      <c r="G12" s="1"/>
    </row>
    <row r="13" spans="1:7" x14ac:dyDescent="0.25">
      <c r="A13" s="1"/>
      <c r="B13" s="67" t="s">
        <v>195</v>
      </c>
      <c r="C13" s="12">
        <f>SUM(C11:C12)</f>
        <v>0</v>
      </c>
      <c r="D13" s="13" t="s">
        <v>3</v>
      </c>
      <c r="E13" s="12">
        <f>SUM(E11:E12)</f>
        <v>141191</v>
      </c>
      <c r="F13" s="13" t="s">
        <v>3</v>
      </c>
      <c r="G13" s="1"/>
    </row>
    <row r="14" spans="1:7" x14ac:dyDescent="0.25">
      <c r="A14" s="1"/>
      <c r="B14" s="67" t="s">
        <v>119</v>
      </c>
      <c r="C14" s="12">
        <f>C13*(1+'Fane 13. Nøgletal'!$C$15)^2</f>
        <v>0</v>
      </c>
      <c r="D14" s="13" t="s">
        <v>3</v>
      </c>
      <c r="E14" s="12">
        <f>E13*(1+'Fane 13. Nøgletal'!$C$15)^2</f>
        <v>151422.73902576001</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ht="18" customHeight="1"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74WM3T6kvPDcyaj4boh2cP+7/CXZP2loJfeCuSZmgGv9dAJ4C43jpspjERBizeinO+vgyPEnMm58jpG7E29Q+w==" saltValue="tZ8/78QiYfFlK7JqWnBB3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223</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61" t="s">
        <v>113</v>
      </c>
      <c r="C9" s="114" t="s">
        <v>10</v>
      </c>
      <c r="D9" s="116"/>
      <c r="E9" s="114" t="s">
        <v>29</v>
      </c>
      <c r="F9" s="116"/>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CQVgEz9IAksuSwrN9kFn3pWIEnl9rC4Qwy2kUywZkvgnKSSmqwWL35Q9nMC4CqcsUli1HMTJCSBa4hbcPNEUOQ==" saltValue="GAhSqrq7LmiiYbKFqXssE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election activeCell="D23" sqref="D23"/>
    </sheetView>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57031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224</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9" t="s">
        <v>85</v>
      </c>
      <c r="C10" s="120"/>
      <c r="D10" s="120"/>
      <c r="E10" s="120"/>
      <c r="F10" s="121"/>
      <c r="G10" s="1"/>
    </row>
    <row r="11" spans="1:7" ht="26.25" x14ac:dyDescent="0.25">
      <c r="A11" s="1"/>
      <c r="B11" s="61" t="s">
        <v>16</v>
      </c>
      <c r="C11" s="61" t="s">
        <v>10</v>
      </c>
      <c r="D11" s="62"/>
      <c r="E11" s="61" t="s">
        <v>29</v>
      </c>
      <c r="F11" s="62"/>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8515T/cjS8ehY3IobCtvUcqj/luM+sGfjN+eaEZiSwIK6PIp1U15ZAqmbkSsHL2KcGfY418O2GhMLMVdbabWfw==" saltValue="ssEzGA1ovj8i+yq4IdHxR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topLeftCell="A13"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04" t="s">
        <v>225</v>
      </c>
      <c r="C3" s="104"/>
      <c r="D3" s="1"/>
    </row>
    <row r="4" spans="1:4" ht="25.5" customHeight="1" x14ac:dyDescent="0.25">
      <c r="A4" s="1"/>
      <c r="B4" s="104"/>
      <c r="C4" s="104"/>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7"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19"/>
      <c r="C16" s="121"/>
      <c r="D16" s="1"/>
    </row>
    <row r="17" spans="1:4" x14ac:dyDescent="0.25">
      <c r="A17" s="1"/>
      <c r="B17" s="1"/>
      <c r="C17" s="40"/>
      <c r="D17" s="1"/>
    </row>
    <row r="18" spans="1:4" x14ac:dyDescent="0.25">
      <c r="A18" s="1"/>
      <c r="B18" s="1"/>
      <c r="C18" s="40"/>
      <c r="D18" s="1"/>
    </row>
    <row r="19" spans="1:4" x14ac:dyDescent="0.25">
      <c r="A19" s="1"/>
      <c r="B19" s="67"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7"/>
      <c r="C27" s="41"/>
      <c r="D27" s="1"/>
    </row>
    <row r="28" spans="1:4" x14ac:dyDescent="0.25">
      <c r="A28" s="1"/>
      <c r="B28" s="1"/>
      <c r="C28" s="40"/>
      <c r="D28" s="1"/>
    </row>
    <row r="29" spans="1:4" x14ac:dyDescent="0.25">
      <c r="A29" s="1"/>
      <c r="B29" s="1"/>
      <c r="C29" s="40"/>
      <c r="D29" s="1"/>
    </row>
    <row r="30" spans="1:4" x14ac:dyDescent="0.25">
      <c r="A30" s="1"/>
      <c r="B30" s="67" t="s">
        <v>90</v>
      </c>
      <c r="C30" s="41"/>
      <c r="D30" s="1"/>
    </row>
    <row r="31" spans="1:4" x14ac:dyDescent="0.25">
      <c r="A31" s="1"/>
      <c r="B31" s="75" t="s">
        <v>107</v>
      </c>
      <c r="C31" s="42">
        <v>0.02</v>
      </c>
      <c r="D31" s="1"/>
    </row>
    <row r="32" spans="1:4" x14ac:dyDescent="0.25">
      <c r="A32" s="1"/>
      <c r="B32" s="67"/>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08yKMk+Emf5FG0VJmDWmqZX4/rQrAs4faKS9mT8ZX52//fmRdIDZyzUS58Tk+rePgzUM05zvwQW2zhX47dT9cg==" saltValue="cznqPOVwVTpjKW0R1wjB5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topLeftCell="A7" zoomScaleNormal="100" workbookViewId="0">
      <selection activeCell="B26" sqref="B26"/>
    </sheetView>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6" t="s">
        <v>165</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64" t="s">
        <v>116</v>
      </c>
      <c r="C8" s="7">
        <f>'Fane 3. Omkostninger i ØR2022'!E20</f>
        <v>16870895.291395392</v>
      </c>
      <c r="D8" s="8" t="s">
        <v>3</v>
      </c>
      <c r="E8" s="1"/>
    </row>
    <row r="9" spans="1:5" ht="17.25" customHeight="1" x14ac:dyDescent="0.25">
      <c r="A9" s="1"/>
      <c r="B9" s="23" t="s">
        <v>35</v>
      </c>
      <c r="C9" s="7">
        <f>'Fane 10.1. Varige tillæg'!C14</f>
        <v>420637.93680000002</v>
      </c>
      <c r="D9" s="8" t="s">
        <v>3</v>
      </c>
      <c r="E9" s="1"/>
    </row>
    <row r="10" spans="1:5" ht="17.25" customHeight="1" x14ac:dyDescent="0.25">
      <c r="A10" s="1"/>
      <c r="B10" s="23" t="s">
        <v>36</v>
      </c>
      <c r="C10" s="9">
        <f>'Fane 10.1. Varige tillæg'!E14</f>
        <v>829141.74840000004</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645096.0291667959</v>
      </c>
      <c r="D15" s="8" t="s">
        <v>3</v>
      </c>
      <c r="E15" s="1"/>
    </row>
    <row r="16" spans="1:5" ht="17.25" customHeight="1" x14ac:dyDescent="0.25">
      <c r="A16" s="1"/>
      <c r="B16" s="23" t="s">
        <v>9</v>
      </c>
      <c r="C16" s="9">
        <f>-SUM(C8,C9:C15)*'Fane 5. Individuelt eff. krav'!G9</f>
        <v>-375315.4201152437</v>
      </c>
      <c r="D16" s="8" t="s">
        <v>3</v>
      </c>
      <c r="E16" s="1"/>
    </row>
    <row r="17" spans="1:5" ht="17.25" customHeight="1" x14ac:dyDescent="0.25">
      <c r="A17" s="1"/>
      <c r="B17" s="23" t="s">
        <v>23</v>
      </c>
      <c r="C17" s="9">
        <f>-'Fane 4.1. Gen. krav - drift'!G43</f>
        <v>-188751.9403466295</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18201703.645300314</v>
      </c>
      <c r="D19" s="11" t="s">
        <v>3</v>
      </c>
      <c r="E19" s="1"/>
    </row>
    <row r="20" spans="1:5" ht="15" customHeight="1" x14ac:dyDescent="0.25">
      <c r="A20" s="1"/>
      <c r="B20" s="67" t="s">
        <v>11</v>
      </c>
      <c r="C20" s="68"/>
      <c r="D20" s="19"/>
      <c r="E20" s="1"/>
    </row>
    <row r="21" spans="1:5" ht="15" customHeight="1" x14ac:dyDescent="0.25">
      <c r="A21" s="1"/>
      <c r="B21" s="61" t="s">
        <v>11</v>
      </c>
      <c r="C21" s="10">
        <f>'Fane 6. Ikke-påvirkelige omk.'!C16</f>
        <v>13248172.138602242</v>
      </c>
      <c r="D21" s="11" t="s">
        <v>3</v>
      </c>
      <c r="E21" s="1"/>
    </row>
    <row r="22" spans="1:5" ht="15" customHeight="1" x14ac:dyDescent="0.25">
      <c r="A22" s="1"/>
      <c r="B22" s="67" t="s">
        <v>80</v>
      </c>
      <c r="C22" s="68"/>
      <c r="D22" s="19"/>
      <c r="E22" s="1"/>
    </row>
    <row r="23" spans="1:5" ht="15" customHeight="1" x14ac:dyDescent="0.25">
      <c r="A23" s="1"/>
      <c r="B23" s="23" t="s">
        <v>76</v>
      </c>
      <c r="C23" s="9">
        <f>'Fane 10.2. Engangstillæg'!C14</f>
        <v>0</v>
      </c>
      <c r="D23" s="8" t="s">
        <v>3</v>
      </c>
      <c r="E23" s="1"/>
    </row>
    <row r="24" spans="1:5" ht="15" customHeight="1" x14ac:dyDescent="0.25">
      <c r="A24" s="1"/>
      <c r="B24" s="23" t="s">
        <v>77</v>
      </c>
      <c r="C24" s="9">
        <f>'Fane 10.2. Engangstillæg'!E14</f>
        <v>151422.73902576001</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-3028.4547805152001</v>
      </c>
      <c r="D26" s="8" t="s">
        <v>3</v>
      </c>
      <c r="E26" s="1"/>
    </row>
    <row r="27" spans="1:5" x14ac:dyDescent="0.25">
      <c r="A27" s="1"/>
      <c r="B27" s="47" t="s">
        <v>81</v>
      </c>
      <c r="C27" s="46">
        <f>SUM(C23:C26)</f>
        <v>148394.28424524481</v>
      </c>
      <c r="D27" s="11" t="s">
        <v>3</v>
      </c>
      <c r="E27" s="1"/>
    </row>
    <row r="28" spans="1:5" ht="15" customHeight="1" x14ac:dyDescent="0.25">
      <c r="A28" s="1"/>
      <c r="B28" s="25" t="s">
        <v>128</v>
      </c>
      <c r="C28" s="68"/>
      <c r="D28" s="19"/>
      <c r="E28" s="1"/>
    </row>
    <row r="29" spans="1:5" x14ac:dyDescent="0.25">
      <c r="A29" s="1"/>
      <c r="B29" s="76" t="s">
        <v>129</v>
      </c>
      <c r="C29" s="10">
        <f>'Fane 7. Kontrol af ØR2021'!E31</f>
        <v>-1803709.3344752518</v>
      </c>
      <c r="D29" s="11" t="s">
        <v>3</v>
      </c>
      <c r="E29" s="1"/>
    </row>
    <row r="30" spans="1:5" x14ac:dyDescent="0.25">
      <c r="A30" s="1"/>
      <c r="B30" s="25" t="s">
        <v>153</v>
      </c>
      <c r="C30" s="68"/>
      <c r="D30" s="19"/>
      <c r="E30" s="1"/>
    </row>
    <row r="31" spans="1:5" x14ac:dyDescent="0.25">
      <c r="A31" s="1"/>
      <c r="B31" s="76" t="s">
        <v>154</v>
      </c>
      <c r="C31" s="10">
        <f>'Fane 8. Skattesagen'!G12</f>
        <v>0</v>
      </c>
      <c r="D31" s="11" t="s">
        <v>3</v>
      </c>
      <c r="E31" s="1"/>
    </row>
    <row r="32" spans="1:5" x14ac:dyDescent="0.25">
      <c r="A32" s="1"/>
      <c r="B32" s="67" t="s">
        <v>84</v>
      </c>
      <c r="C32" s="34">
        <f>SUM(C19,C21,C27,C29,C31)</f>
        <v>29794560.733672548</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m07zSXOAIca24Logn9q+XRh8cagwN2DSCznJdx/j4eizdHIRuc3KcXHXlCaAAl7yKH7r1DpUG6xqK7EClBMX9A==" saltValue="tne7AFVAWjQVq7pWBUHdd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topLeftCell="A13" zoomScaleNormal="100" workbookViewId="0">
      <selection activeCell="B7" sqref="B7"/>
    </sheetView>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6" t="s">
        <v>166</v>
      </c>
      <c r="C3" s="96"/>
      <c r="D3" s="96"/>
      <c r="E3" s="1"/>
    </row>
    <row r="4" spans="1:5" ht="15" customHeight="1" x14ac:dyDescent="0.25">
      <c r="A4" s="1"/>
      <c r="B4" s="96"/>
      <c r="C4" s="96"/>
      <c r="D4" s="96"/>
      <c r="E4" s="1"/>
    </row>
    <row r="5" spans="1:5" x14ac:dyDescent="0.25">
      <c r="A5" s="1"/>
      <c r="B5" s="97"/>
      <c r="C5" s="97"/>
      <c r="D5" s="97"/>
      <c r="E5" s="1"/>
    </row>
    <row r="6" spans="1:5" x14ac:dyDescent="0.25">
      <c r="A6" s="1"/>
      <c r="B6" s="1"/>
      <c r="C6" s="1"/>
      <c r="D6" s="1"/>
      <c r="E6" s="1"/>
    </row>
    <row r="7" spans="1:5" x14ac:dyDescent="0.25">
      <c r="A7" s="1"/>
      <c r="B7" s="67" t="s">
        <v>12</v>
      </c>
      <c r="C7" s="68"/>
      <c r="D7" s="19"/>
      <c r="E7" s="1"/>
    </row>
    <row r="8" spans="1:5" ht="15" customHeight="1" x14ac:dyDescent="0.25">
      <c r="A8" s="1"/>
      <c r="B8" s="64" t="s">
        <v>117</v>
      </c>
      <c r="C8" s="7">
        <f>'Fane 2.1. Økonomisk ramme 2023'!C19</f>
        <v>18201703.645300314</v>
      </c>
      <c r="D8" s="8" t="s">
        <v>3</v>
      </c>
      <c r="E8" s="1"/>
    </row>
    <row r="9" spans="1:5" ht="15" customHeight="1" x14ac:dyDescent="0.25">
      <c r="A9" s="1"/>
      <c r="B9" s="60" t="s">
        <v>17</v>
      </c>
      <c r="C9" s="9">
        <f>SUM(C8:C8)*'Fane 13. Nøgletal'!C15</f>
        <v>647980.64977269119</v>
      </c>
      <c r="D9" s="8" t="s">
        <v>3</v>
      </c>
      <c r="E9" s="1"/>
    </row>
    <row r="10" spans="1:5" ht="15" customHeight="1" x14ac:dyDescent="0.25">
      <c r="A10" s="1"/>
      <c r="B10" s="60" t="s">
        <v>9</v>
      </c>
      <c r="C10" s="9">
        <f>-SUM(C8:C9)*'Fane 5. Individuelt eff. krav'!G9</f>
        <v>-376993.68590146012</v>
      </c>
      <c r="D10" s="8" t="s">
        <v>3</v>
      </c>
      <c r="E10" s="1"/>
    </row>
    <row r="11" spans="1:5" ht="15" customHeight="1" x14ac:dyDescent="0.25">
      <c r="A11" s="1"/>
      <c r="B11" s="60" t="s">
        <v>23</v>
      </c>
      <c r="C11" s="9">
        <f>-'Fane 4.1. Gen. krav - drift'!G48</f>
        <v>-191562.07923451014</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18281128.529937036</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f>
        <v>13719807.066736482</v>
      </c>
      <c r="D15" s="11" t="s">
        <v>3</v>
      </c>
      <c r="E15" s="1"/>
    </row>
    <row r="16" spans="1:5" x14ac:dyDescent="0.25">
      <c r="A16" s="1"/>
      <c r="B16" s="25" t="s">
        <v>128</v>
      </c>
      <c r="C16" s="68"/>
      <c r="D16" s="19"/>
      <c r="E16" s="1"/>
    </row>
    <row r="17" spans="1:5" ht="15" customHeight="1" x14ac:dyDescent="0.25">
      <c r="A17" s="1"/>
      <c r="B17" s="76" t="s">
        <v>129</v>
      </c>
      <c r="C17" s="10">
        <f>'Fane 7. Kontrol af ØR2021'!E31</f>
        <v>-1803709.3344752518</v>
      </c>
      <c r="D17" s="11" t="s">
        <v>3</v>
      </c>
      <c r="E17" s="1"/>
    </row>
    <row r="18" spans="1:5" x14ac:dyDescent="0.25">
      <c r="A18" s="1"/>
      <c r="B18" s="25" t="s">
        <v>153</v>
      </c>
      <c r="C18" s="68"/>
      <c r="D18" s="19"/>
      <c r="E18" s="1"/>
    </row>
    <row r="19" spans="1:5" x14ac:dyDescent="0.25">
      <c r="A19" s="1"/>
      <c r="B19" s="76" t="s">
        <v>154</v>
      </c>
      <c r="C19" s="10">
        <f>'Fane 8. Skattesagen'!G13</f>
        <v>0</v>
      </c>
      <c r="D19" s="11" t="s">
        <v>3</v>
      </c>
      <c r="E19" s="1"/>
    </row>
    <row r="20" spans="1:5" x14ac:dyDescent="0.25">
      <c r="A20" s="1"/>
      <c r="B20" s="67" t="s">
        <v>138</v>
      </c>
      <c r="C20" s="12">
        <f>SUM(C13,C15,C17,C19)</f>
        <v>30197226.262198266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7GZzbQBonio8f0tuhu/1po9IRnzZPM1zdc+bOjXiuDIbKzXwFQo0k4QOTt4qw5nONS3HWuW9Xj6VpJEhKyaOKg==" saltValue="p8Nf6GTBK8RxOn4xbR56f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6" t="s">
        <v>167</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67" t="s">
        <v>12</v>
      </c>
      <c r="C7" s="68"/>
      <c r="D7" s="19"/>
      <c r="E7" s="1"/>
    </row>
    <row r="8" spans="1:5" ht="15" customHeight="1" x14ac:dyDescent="0.25">
      <c r="A8" s="1"/>
      <c r="B8" s="64" t="s">
        <v>139</v>
      </c>
      <c r="C8" s="7">
        <f>'Fane 2.2. Økonomisk ramme 2024'!C13</f>
        <v>18281128.529937036</v>
      </c>
      <c r="D8" s="8" t="s">
        <v>3</v>
      </c>
      <c r="E8" s="1"/>
    </row>
    <row r="9" spans="1:5" ht="15" customHeight="1" x14ac:dyDescent="0.25">
      <c r="A9" s="1"/>
      <c r="B9" s="60" t="s">
        <v>17</v>
      </c>
      <c r="C9" s="9">
        <f>SUM(C8:C8)*'Fane 13. Nøgletal'!C15</f>
        <v>650808.17566575843</v>
      </c>
      <c r="D9" s="8" t="s">
        <v>3</v>
      </c>
      <c r="E9" s="1"/>
    </row>
    <row r="10" spans="1:5" ht="15" customHeight="1" x14ac:dyDescent="0.25">
      <c r="A10" s="1"/>
      <c r="B10" s="60" t="s">
        <v>9</v>
      </c>
      <c r="C10" s="9">
        <f>-SUM(C8:C9)*'Fane 5. Individuelt eff. krav'!G9</f>
        <v>-378638.73411205591</v>
      </c>
      <c r="D10" s="8" t="s">
        <v>3</v>
      </c>
      <c r="E10" s="1"/>
    </row>
    <row r="11" spans="1:5" ht="15" customHeight="1" x14ac:dyDescent="0.25">
      <c r="A11" s="1"/>
      <c r="B11" s="60" t="s">
        <v>23</v>
      </c>
      <c r="C11" s="9">
        <f>-'Fane 4.1. Gen. krav - drift'!G53</f>
        <v>-194414.05547015354</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18358883.916020587</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Nøgletal'!C15)^2</f>
        <v>14208232.198312301</v>
      </c>
      <c r="D15" s="11" t="s">
        <v>3</v>
      </c>
      <c r="E15" s="1"/>
    </row>
    <row r="16" spans="1:5" x14ac:dyDescent="0.25">
      <c r="A16" s="1"/>
      <c r="B16" s="67" t="s">
        <v>128</v>
      </c>
      <c r="C16" s="68"/>
      <c r="D16" s="19"/>
      <c r="E16" s="1"/>
    </row>
    <row r="17" spans="1:5" x14ac:dyDescent="0.25">
      <c r="A17" s="1"/>
      <c r="B17" s="61" t="s">
        <v>129</v>
      </c>
      <c r="C17" s="10">
        <v>0</v>
      </c>
      <c r="D17" s="11" t="s">
        <v>3</v>
      </c>
      <c r="E17" s="1"/>
    </row>
    <row r="18" spans="1:5" ht="15" customHeight="1" x14ac:dyDescent="0.25">
      <c r="A18" s="1"/>
      <c r="B18" s="25" t="s">
        <v>153</v>
      </c>
      <c r="C18" s="68"/>
      <c r="D18" s="19"/>
      <c r="E18" s="1"/>
    </row>
    <row r="19" spans="1:5" ht="15" customHeight="1" x14ac:dyDescent="0.25">
      <c r="A19" s="1"/>
      <c r="B19" s="76" t="s">
        <v>154</v>
      </c>
      <c r="C19" s="10">
        <f>'Fane 8. Skattesagen'!G14</f>
        <v>0</v>
      </c>
      <c r="D19" s="11" t="s">
        <v>3</v>
      </c>
      <c r="E19" s="1"/>
    </row>
    <row r="20" spans="1:5" x14ac:dyDescent="0.25">
      <c r="A20" s="1"/>
      <c r="B20" s="67" t="s">
        <v>140</v>
      </c>
      <c r="C20" s="12">
        <f>SUM(C13,C15,C17,C19)</f>
        <v>32567116.114332888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efeqfNmoXYgrliGBR0jXeWV8ml66CAry3LaHzcdyXJUhivo2FnBmXklE7ek7MBJ9b/rFFqAydhHa9nB+XYD8w==" saltValue="nedmnrUvP714Inwfxx8Po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6" t="s">
        <v>168</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67" t="s">
        <v>12</v>
      </c>
      <c r="C7" s="68"/>
      <c r="D7" s="19"/>
      <c r="E7" s="1"/>
    </row>
    <row r="8" spans="1:5" ht="15" customHeight="1" x14ac:dyDescent="0.25">
      <c r="A8" s="1"/>
      <c r="B8" s="64" t="s">
        <v>169</v>
      </c>
      <c r="C8" s="7">
        <f>'Fane 2.3. Økonomisk ramme 2025'!C13</f>
        <v>18358883.916020587</v>
      </c>
      <c r="D8" s="8" t="s">
        <v>3</v>
      </c>
      <c r="E8" s="1"/>
    </row>
    <row r="9" spans="1:5" ht="15" customHeight="1" x14ac:dyDescent="0.25">
      <c r="A9" s="1"/>
      <c r="B9" s="60" t="s">
        <v>17</v>
      </c>
      <c r="C9" s="9">
        <f>SUM(C8:C8)*'Fane 13. Nøgletal'!C15</f>
        <v>653576.26741033292</v>
      </c>
      <c r="D9" s="8" t="s">
        <v>3</v>
      </c>
      <c r="E9" s="1"/>
    </row>
    <row r="10" spans="1:5" ht="15" customHeight="1" x14ac:dyDescent="0.25">
      <c r="A10" s="1"/>
      <c r="B10" s="60" t="s">
        <v>9</v>
      </c>
      <c r="C10" s="9">
        <f>-SUM(C8:C9)*'Fane 5. Individuelt eff. krav'!G9</f>
        <v>-380249.20366861846</v>
      </c>
      <c r="D10" s="8" t="s">
        <v>3</v>
      </c>
      <c r="E10" s="1"/>
    </row>
    <row r="11" spans="1:5" ht="15" customHeight="1" x14ac:dyDescent="0.25">
      <c r="A11" s="1"/>
      <c r="B11" s="60" t="s">
        <v>23</v>
      </c>
      <c r="C11" s="9">
        <f>-'Fane 4.1. Gen. krav - drift'!G58</f>
        <v>-197308.49192799319</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18434902.487834312</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Nøgletal'!C15)^3</f>
        <v>14714045.264572222</v>
      </c>
      <c r="D15" s="11" t="s">
        <v>3</v>
      </c>
      <c r="E15" s="1"/>
    </row>
    <row r="16" spans="1:5" x14ac:dyDescent="0.25">
      <c r="A16" s="1"/>
      <c r="B16" s="67" t="s">
        <v>128</v>
      </c>
      <c r="C16" s="68"/>
      <c r="D16" s="19"/>
      <c r="E16" s="1"/>
    </row>
    <row r="17" spans="1:5" x14ac:dyDescent="0.25">
      <c r="A17" s="1"/>
      <c r="B17" s="61" t="s">
        <v>129</v>
      </c>
      <c r="C17" s="10">
        <v>0</v>
      </c>
      <c r="D17" s="11" t="s">
        <v>3</v>
      </c>
      <c r="E17" s="1"/>
    </row>
    <row r="18" spans="1:5" x14ac:dyDescent="0.25">
      <c r="A18" s="1"/>
      <c r="B18" s="25" t="s">
        <v>153</v>
      </c>
      <c r="C18" s="68"/>
      <c r="D18" s="19"/>
      <c r="E18" s="1"/>
    </row>
    <row r="19" spans="1:5" x14ac:dyDescent="0.25">
      <c r="A19" s="1"/>
      <c r="B19" s="76" t="s">
        <v>154</v>
      </c>
      <c r="C19" s="10">
        <f>'Fane 8. Skattesagen'!G15</f>
        <v>0</v>
      </c>
      <c r="D19" s="11" t="s">
        <v>3</v>
      </c>
      <c r="E19" s="1"/>
    </row>
    <row r="20" spans="1:5" x14ac:dyDescent="0.25">
      <c r="A20" s="1"/>
      <c r="B20" s="67" t="s">
        <v>170</v>
      </c>
      <c r="C20" s="12">
        <f>SUM(C13,C15,C17,C19)</f>
        <v>33148947.752406534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8EF5S69B52d2AZciZ1RlBGYQiCVJ7npNES28smPD6uptJD0BE3dax6MpkZV0Pv3AJ+TpkvLu0G/IHgiTvYRHNw==" saltValue="HCdGYqtBpe6XHzp5EdRIW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topLeftCell="A7"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171</v>
      </c>
      <c r="C3" s="104"/>
      <c r="D3" s="104"/>
      <c r="E3" s="104"/>
      <c r="F3" s="104"/>
      <c r="G3" s="1"/>
    </row>
    <row r="4" spans="1:7" ht="29.2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5" t="s">
        <v>22</v>
      </c>
      <c r="C9" s="106"/>
      <c r="D9" s="107"/>
      <c r="E9" s="7">
        <v>16043848.881254142</v>
      </c>
      <c r="F9" s="8" t="s">
        <v>3</v>
      </c>
      <c r="G9" s="1"/>
    </row>
    <row r="10" spans="1:7" ht="15" customHeight="1" x14ac:dyDescent="0.25">
      <c r="A10" s="1"/>
      <c r="B10" s="98" t="s">
        <v>35</v>
      </c>
      <c r="C10" s="99"/>
      <c r="D10" s="100"/>
      <c r="E10" s="9">
        <v>581531.74270000006</v>
      </c>
      <c r="F10" s="8" t="s">
        <v>3</v>
      </c>
      <c r="G10" s="1"/>
    </row>
    <row r="11" spans="1:7" ht="15" customHeight="1" x14ac:dyDescent="0.25">
      <c r="A11" s="1"/>
      <c r="B11" s="98" t="s">
        <v>36</v>
      </c>
      <c r="C11" s="99"/>
      <c r="D11" s="100"/>
      <c r="E11" s="9">
        <v>613966.42509999999</v>
      </c>
      <c r="F11" s="8" t="s">
        <v>3</v>
      </c>
      <c r="G11" s="1"/>
    </row>
    <row r="12" spans="1:7" x14ac:dyDescent="0.25">
      <c r="A12" s="1"/>
      <c r="B12" s="98" t="s">
        <v>26</v>
      </c>
      <c r="C12" s="99"/>
      <c r="D12" s="100"/>
      <c r="E12" s="9">
        <v>0</v>
      </c>
      <c r="F12" s="8" t="s">
        <v>3</v>
      </c>
      <c r="G12" s="1"/>
    </row>
    <row r="13" spans="1:7" x14ac:dyDescent="0.25">
      <c r="A13" s="1"/>
      <c r="B13" s="98" t="s">
        <v>25</v>
      </c>
      <c r="C13" s="99"/>
      <c r="D13" s="100"/>
      <c r="E13" s="9">
        <v>0</v>
      </c>
      <c r="F13" s="8" t="s">
        <v>3</v>
      </c>
      <c r="G13" s="1"/>
    </row>
    <row r="14" spans="1:7" x14ac:dyDescent="0.25">
      <c r="A14" s="1"/>
      <c r="B14" s="98" t="s">
        <v>114</v>
      </c>
      <c r="C14" s="99"/>
      <c r="D14" s="100"/>
      <c r="E14" s="9">
        <v>0</v>
      </c>
      <c r="F14" s="8" t="s">
        <v>3</v>
      </c>
      <c r="G14" s="1"/>
    </row>
    <row r="15" spans="1:7" x14ac:dyDescent="0.25">
      <c r="A15" s="1"/>
      <c r="B15" s="98" t="s">
        <v>115</v>
      </c>
      <c r="C15" s="99"/>
      <c r="D15" s="100"/>
      <c r="E15" s="9">
        <v>0</v>
      </c>
      <c r="F15" s="8" t="s">
        <v>3</v>
      </c>
      <c r="G15" s="1"/>
    </row>
    <row r="16" spans="1:7" x14ac:dyDescent="0.25">
      <c r="A16" s="1"/>
      <c r="B16" s="98" t="s">
        <v>17</v>
      </c>
      <c r="C16" s="99"/>
      <c r="D16" s="100"/>
      <c r="E16" s="9">
        <v>199680.10030504051</v>
      </c>
      <c r="F16" s="8" t="s">
        <v>3</v>
      </c>
      <c r="G16" s="30"/>
    </row>
    <row r="17" spans="1:7" x14ac:dyDescent="0.25">
      <c r="A17" s="1"/>
      <c r="B17" s="98" t="s">
        <v>9</v>
      </c>
      <c r="C17" s="99"/>
      <c r="D17" s="100"/>
      <c r="E17" s="9">
        <v>-158623.9277719068</v>
      </c>
      <c r="F17" s="8" t="s">
        <v>3</v>
      </c>
      <c r="G17" s="1"/>
    </row>
    <row r="18" spans="1:7" x14ac:dyDescent="0.25">
      <c r="A18" s="1"/>
      <c r="B18" s="98" t="s">
        <v>23</v>
      </c>
      <c r="C18" s="99"/>
      <c r="D18" s="100"/>
      <c r="E18" s="9">
        <v>-177398.57737960038</v>
      </c>
      <c r="F18" s="8" t="s">
        <v>3</v>
      </c>
      <c r="G18" s="1"/>
    </row>
    <row r="19" spans="1:7" x14ac:dyDescent="0.25">
      <c r="A19" s="1"/>
      <c r="B19" s="98" t="s">
        <v>24</v>
      </c>
      <c r="C19" s="99"/>
      <c r="D19" s="100"/>
      <c r="E19" s="9">
        <v>-232109.35281228245</v>
      </c>
      <c r="F19" s="8" t="s">
        <v>3</v>
      </c>
      <c r="G19" s="1"/>
    </row>
    <row r="20" spans="1:7" x14ac:dyDescent="0.25">
      <c r="A20" s="1"/>
      <c r="B20" s="111" t="s">
        <v>19</v>
      </c>
      <c r="C20" s="112"/>
      <c r="D20" s="113"/>
      <c r="E20" s="31">
        <f>SUM(E9:E19)</f>
        <v>16870895.291395392</v>
      </c>
      <c r="F20" s="33" t="s">
        <v>3</v>
      </c>
      <c r="G20" s="1"/>
    </row>
    <row r="21" spans="1:7" x14ac:dyDescent="0.25">
      <c r="A21" s="1"/>
      <c r="B21" s="67" t="s">
        <v>11</v>
      </c>
      <c r="C21" s="68"/>
      <c r="D21" s="68"/>
      <c r="E21" s="68"/>
      <c r="F21" s="19"/>
      <c r="G21" s="1"/>
    </row>
    <row r="22" spans="1:7" x14ac:dyDescent="0.25">
      <c r="A22" s="1"/>
      <c r="B22" s="101" t="s">
        <v>11</v>
      </c>
      <c r="C22" s="102"/>
      <c r="D22" s="103"/>
      <c r="E22" s="10">
        <v>9985381.7264546715</v>
      </c>
      <c r="F22" s="11" t="s">
        <v>3</v>
      </c>
      <c r="G22" s="1"/>
    </row>
    <row r="23" spans="1:7" ht="15" customHeight="1" x14ac:dyDescent="0.25">
      <c r="A23" s="1"/>
      <c r="B23" s="117" t="s">
        <v>80</v>
      </c>
      <c r="C23" s="118"/>
      <c r="D23" s="118"/>
      <c r="E23" s="68"/>
      <c r="F23" s="68"/>
      <c r="G23" s="1"/>
    </row>
    <row r="24" spans="1:7" ht="14.25" customHeight="1" x14ac:dyDescent="0.25">
      <c r="A24" s="1"/>
      <c r="B24" s="108" t="s">
        <v>76</v>
      </c>
      <c r="C24" s="109"/>
      <c r="D24" s="110"/>
      <c r="E24" s="9">
        <v>0</v>
      </c>
      <c r="F24" s="8" t="s">
        <v>3</v>
      </c>
      <c r="G24" s="1"/>
    </row>
    <row r="25" spans="1:7" ht="14.25" customHeight="1" x14ac:dyDescent="0.25">
      <c r="A25" s="1"/>
      <c r="B25" s="108" t="s">
        <v>77</v>
      </c>
      <c r="C25" s="109"/>
      <c r="D25" s="110"/>
      <c r="E25" s="9">
        <v>0</v>
      </c>
      <c r="F25" s="8" t="s">
        <v>3</v>
      </c>
      <c r="G25" s="1"/>
    </row>
    <row r="26" spans="1:7" x14ac:dyDescent="0.25">
      <c r="A26" s="1"/>
      <c r="B26" s="114" t="s">
        <v>81</v>
      </c>
      <c r="C26" s="115"/>
      <c r="D26" s="115"/>
      <c r="E26" s="10">
        <v>0</v>
      </c>
      <c r="F26" s="11" t="s">
        <v>3</v>
      </c>
      <c r="G26" s="1"/>
    </row>
    <row r="27" spans="1:7" x14ac:dyDescent="0.25">
      <c r="A27" s="1"/>
      <c r="B27" s="67" t="s">
        <v>128</v>
      </c>
      <c r="C27" s="68"/>
      <c r="D27" s="68"/>
      <c r="E27" s="68"/>
      <c r="F27" s="19"/>
      <c r="G27" s="1"/>
    </row>
    <row r="28" spans="1:7" ht="15" customHeight="1" x14ac:dyDescent="0.25">
      <c r="A28" s="1"/>
      <c r="B28" s="114" t="s">
        <v>129</v>
      </c>
      <c r="C28" s="115"/>
      <c r="D28" s="116"/>
      <c r="E28" s="10">
        <v>0</v>
      </c>
      <c r="F28" s="11" t="s">
        <v>3</v>
      </c>
      <c r="G28" s="1"/>
    </row>
    <row r="29" spans="1:7" x14ac:dyDescent="0.25">
      <c r="A29" s="1"/>
      <c r="B29" s="67" t="s">
        <v>159</v>
      </c>
      <c r="C29" s="68"/>
      <c r="D29" s="68"/>
      <c r="E29" s="68"/>
      <c r="F29" s="19"/>
      <c r="G29" s="1"/>
    </row>
    <row r="30" spans="1:7" ht="15.75" customHeight="1" x14ac:dyDescent="0.25">
      <c r="A30" s="1"/>
      <c r="B30" s="101" t="s">
        <v>160</v>
      </c>
      <c r="C30" s="102"/>
      <c r="D30" s="103"/>
      <c r="E30" s="10">
        <v>0</v>
      </c>
      <c r="F30" s="11" t="s">
        <v>3</v>
      </c>
      <c r="G30" s="1"/>
    </row>
    <row r="31" spans="1:7" ht="15.75" customHeight="1" x14ac:dyDescent="0.25">
      <c r="A31" s="1"/>
      <c r="B31" s="119" t="s">
        <v>153</v>
      </c>
      <c r="C31" s="120"/>
      <c r="D31" s="120"/>
      <c r="E31" s="120"/>
      <c r="F31" s="121"/>
      <c r="G31" s="1"/>
    </row>
    <row r="32" spans="1:7" ht="15.75" customHeight="1" x14ac:dyDescent="0.25">
      <c r="A32" s="1"/>
      <c r="B32" s="76" t="s">
        <v>154</v>
      </c>
      <c r="C32" s="10"/>
      <c r="D32" s="11"/>
      <c r="E32" s="10">
        <f>'Fane 8. Skattesagen'!G11</f>
        <v>0</v>
      </c>
      <c r="F32" s="11" t="s">
        <v>3</v>
      </c>
      <c r="G32" s="1"/>
    </row>
    <row r="33" spans="1:7" x14ac:dyDescent="0.25">
      <c r="A33" s="1"/>
      <c r="B33" s="67" t="s">
        <v>27</v>
      </c>
      <c r="C33" s="68"/>
      <c r="D33" s="68"/>
      <c r="E33" s="12">
        <f>E20+E22+E26+E28+E30+E32</f>
        <v>26856277.017850064</v>
      </c>
      <c r="F33" s="13" t="s">
        <v>3</v>
      </c>
      <c r="G33" s="1"/>
    </row>
    <row r="34" spans="1:7" ht="27.75" customHeight="1" x14ac:dyDescent="0.25">
      <c r="A34" s="1"/>
      <c r="B34" s="108" t="s">
        <v>173</v>
      </c>
      <c r="C34" s="109"/>
      <c r="D34" s="109"/>
      <c r="E34" s="109"/>
      <c r="F34" s="110"/>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oB4Y9m/dZ1+SmYvjzdp5SwUIQQ3LDGBC6udZU/uaazSzzlImIp5ADvt+DLcWNlXXJI3ALQ/dhUbYeuU/Ys76w==" saltValue="FXeAS0Hz8Wz2e9La6b8uuQ=="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topLeftCell="A40" zoomScaleNormal="100" workbookViewId="0">
      <selection activeCell="B23" sqref="B23:F23"/>
    </sheetView>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04" t="s">
        <v>98</v>
      </c>
      <c r="C1" s="104"/>
      <c r="D1" s="104"/>
      <c r="E1" s="104"/>
      <c r="F1" s="104"/>
      <c r="G1" s="104"/>
      <c r="H1" s="104"/>
      <c r="I1" s="1"/>
    </row>
    <row r="2" spans="1:9" ht="15" customHeight="1" x14ac:dyDescent="0.25">
      <c r="A2" s="1"/>
      <c r="B2" s="104"/>
      <c r="C2" s="104"/>
      <c r="D2" s="104"/>
      <c r="E2" s="104"/>
      <c r="F2" s="104"/>
      <c r="G2" s="104"/>
      <c r="H2" s="104"/>
      <c r="I2" s="1"/>
    </row>
    <row r="3" spans="1:9" ht="15" customHeight="1" x14ac:dyDescent="0.25">
      <c r="A3" s="1"/>
      <c r="B3" s="104"/>
      <c r="C3" s="104"/>
      <c r="D3" s="104"/>
      <c r="E3" s="104"/>
      <c r="F3" s="104"/>
      <c r="G3" s="104"/>
      <c r="H3" s="104"/>
      <c r="I3" s="1"/>
    </row>
    <row r="4" spans="1:9" x14ac:dyDescent="0.25">
      <c r="A4" s="1"/>
      <c r="B4" s="119" t="s">
        <v>49</v>
      </c>
      <c r="C4" s="120"/>
      <c r="D4" s="120"/>
      <c r="E4" s="120"/>
      <c r="F4" s="120"/>
      <c r="G4" s="120"/>
      <c r="H4" s="121"/>
      <c r="I4" s="1"/>
    </row>
    <row r="5" spans="1:9" x14ac:dyDescent="0.25">
      <c r="A5" s="1"/>
      <c r="B5" s="122" t="s">
        <v>38</v>
      </c>
      <c r="C5" s="123"/>
      <c r="D5" s="123"/>
      <c r="E5" s="123"/>
      <c r="F5" s="124"/>
      <c r="G5" s="54">
        <v>8358225</v>
      </c>
      <c r="H5" s="14" t="s">
        <v>3</v>
      </c>
      <c r="I5" s="1"/>
    </row>
    <row r="6" spans="1:9" x14ac:dyDescent="0.25">
      <c r="A6" s="1"/>
      <c r="B6" s="122" t="s">
        <v>39</v>
      </c>
      <c r="C6" s="123"/>
      <c r="D6" s="123"/>
      <c r="E6" s="123"/>
      <c r="F6" s="124"/>
      <c r="G6" s="54">
        <f>G5*'Fane 13. Nøgletal'!C31</f>
        <v>167164.5</v>
      </c>
      <c r="H6" s="14" t="s">
        <v>3</v>
      </c>
      <c r="I6" s="1"/>
    </row>
    <row r="7" spans="1:9" x14ac:dyDescent="0.25">
      <c r="A7" s="1"/>
      <c r="B7" s="67"/>
      <c r="C7" s="68"/>
      <c r="D7" s="68"/>
      <c r="E7" s="68"/>
      <c r="F7" s="68"/>
      <c r="G7" s="55"/>
      <c r="H7" s="19"/>
      <c r="I7" s="1"/>
    </row>
    <row r="8" spans="1:9" x14ac:dyDescent="0.25">
      <c r="A8" s="1"/>
      <c r="B8" s="1"/>
      <c r="C8" s="1"/>
      <c r="D8" s="1"/>
      <c r="E8" s="1"/>
      <c r="F8" s="1"/>
      <c r="G8" s="56"/>
      <c r="H8" s="1"/>
      <c r="I8" s="1"/>
    </row>
    <row r="9" spans="1:9" x14ac:dyDescent="0.25">
      <c r="A9" s="1"/>
      <c r="B9" s="119" t="s">
        <v>50</v>
      </c>
      <c r="C9" s="120"/>
      <c r="D9" s="120"/>
      <c r="E9" s="120"/>
      <c r="F9" s="120"/>
      <c r="G9" s="125"/>
      <c r="H9" s="121"/>
      <c r="I9" s="1"/>
    </row>
    <row r="10" spans="1:9" x14ac:dyDescent="0.25">
      <c r="A10" s="1"/>
      <c r="B10" s="122" t="s">
        <v>40</v>
      </c>
      <c r="C10" s="123"/>
      <c r="D10" s="123"/>
      <c r="E10" s="123"/>
      <c r="F10" s="124"/>
      <c r="G10" s="54">
        <f>(G5-G6)*(1+'Fane 13. Nøgletal'!C9)</f>
        <v>8295086.9683499997</v>
      </c>
      <c r="H10" s="14" t="s">
        <v>3</v>
      </c>
      <c r="I10" s="1"/>
    </row>
    <row r="11" spans="1:9" x14ac:dyDescent="0.25">
      <c r="A11" s="1"/>
      <c r="B11" s="126" t="s">
        <v>41</v>
      </c>
      <c r="C11" s="127"/>
      <c r="D11" s="127"/>
      <c r="E11" s="127"/>
      <c r="F11" s="128"/>
      <c r="G11" s="54">
        <v>0</v>
      </c>
      <c r="H11" s="14" t="s">
        <v>3</v>
      </c>
      <c r="I11" s="1"/>
    </row>
    <row r="12" spans="1:9" x14ac:dyDescent="0.25">
      <c r="A12" s="1"/>
      <c r="B12" s="122" t="s">
        <v>42</v>
      </c>
      <c r="C12" s="123"/>
      <c r="D12" s="123"/>
      <c r="E12" s="123"/>
      <c r="F12" s="124"/>
      <c r="G12" s="54">
        <f>(G10+G11)*'Fane 13. Nøgletal'!C31</f>
        <v>165901.739367</v>
      </c>
      <c r="H12" s="14" t="s">
        <v>3</v>
      </c>
      <c r="I12" s="1"/>
    </row>
    <row r="13" spans="1:9" x14ac:dyDescent="0.25">
      <c r="A13" s="1"/>
      <c r="B13" s="67"/>
      <c r="C13" s="68"/>
      <c r="D13" s="68"/>
      <c r="E13" s="68"/>
      <c r="F13" s="68"/>
      <c r="G13" s="55"/>
      <c r="H13" s="19"/>
      <c r="I13" s="1"/>
    </row>
    <row r="14" spans="1:9" x14ac:dyDescent="0.25">
      <c r="A14" s="1"/>
      <c r="B14" s="1"/>
      <c r="C14" s="1"/>
      <c r="D14" s="1"/>
      <c r="E14" s="1"/>
      <c r="F14" s="1"/>
      <c r="G14" s="56"/>
      <c r="H14" s="1"/>
      <c r="I14" s="1"/>
    </row>
    <row r="15" spans="1:9" x14ac:dyDescent="0.25">
      <c r="A15" s="1"/>
      <c r="B15" s="119" t="s">
        <v>51</v>
      </c>
      <c r="C15" s="120"/>
      <c r="D15" s="120"/>
      <c r="E15" s="120"/>
      <c r="F15" s="120"/>
      <c r="G15" s="125"/>
      <c r="H15" s="121"/>
      <c r="I15" s="1"/>
    </row>
    <row r="16" spans="1:9" x14ac:dyDescent="0.25">
      <c r="A16" s="1"/>
      <c r="B16" s="122" t="s">
        <v>43</v>
      </c>
      <c r="C16" s="123"/>
      <c r="D16" s="123"/>
      <c r="E16" s="123"/>
      <c r="F16" s="124"/>
      <c r="G16" s="54">
        <f>(G10+G11-G12)*(1+'Fane 13. Nøgletal'!C11)</f>
        <v>8266568.4593528118</v>
      </c>
      <c r="H16" s="14" t="s">
        <v>3</v>
      </c>
      <c r="I16" s="1"/>
    </row>
    <row r="17" spans="1:9" x14ac:dyDescent="0.25">
      <c r="A17" s="1"/>
      <c r="B17" s="122" t="s">
        <v>108</v>
      </c>
      <c r="C17" s="123"/>
      <c r="D17" s="123"/>
      <c r="E17" s="123"/>
      <c r="F17" s="124"/>
      <c r="G17" s="54">
        <v>-9.2825559778472511E-2</v>
      </c>
      <c r="H17" s="14" t="s">
        <v>3</v>
      </c>
      <c r="I17" s="1"/>
    </row>
    <row r="18" spans="1:9" x14ac:dyDescent="0.25">
      <c r="A18" s="1"/>
      <c r="B18" s="126" t="s">
        <v>44</v>
      </c>
      <c r="C18" s="127"/>
      <c r="D18" s="127"/>
      <c r="E18" s="127"/>
      <c r="F18" s="128"/>
      <c r="G18" s="54">
        <v>0</v>
      </c>
      <c r="H18" s="14" t="s">
        <v>3</v>
      </c>
      <c r="I18" s="1"/>
    </row>
    <row r="19" spans="1:9" x14ac:dyDescent="0.25">
      <c r="A19" s="1"/>
      <c r="B19" s="122" t="s">
        <v>45</v>
      </c>
      <c r="C19" s="123"/>
      <c r="D19" s="123"/>
      <c r="E19" s="123"/>
      <c r="F19" s="124"/>
      <c r="G19" s="54">
        <f>SUM(G16:G18)*'Fane 13. Nøgletal'!C31</f>
        <v>165331.36733054504</v>
      </c>
      <c r="H19" s="14" t="s">
        <v>3</v>
      </c>
      <c r="I19" s="1"/>
    </row>
    <row r="20" spans="1:9" x14ac:dyDescent="0.25">
      <c r="A20" s="1"/>
      <c r="B20" s="67"/>
      <c r="C20" s="68"/>
      <c r="D20" s="68"/>
      <c r="E20" s="68"/>
      <c r="F20" s="68"/>
      <c r="G20" s="55"/>
      <c r="H20" s="19"/>
      <c r="I20" s="1"/>
    </row>
    <row r="21" spans="1:9" x14ac:dyDescent="0.25">
      <c r="A21" s="1"/>
      <c r="B21" s="1"/>
      <c r="C21" s="1"/>
      <c r="D21" s="1"/>
      <c r="E21" s="1"/>
      <c r="F21" s="1"/>
      <c r="G21" s="56"/>
      <c r="H21" s="1"/>
      <c r="I21" s="1"/>
    </row>
    <row r="22" spans="1:9" x14ac:dyDescent="0.25">
      <c r="A22" s="1"/>
      <c r="B22" s="119" t="s">
        <v>52</v>
      </c>
      <c r="C22" s="120"/>
      <c r="D22" s="120"/>
      <c r="E22" s="120"/>
      <c r="F22" s="120"/>
      <c r="G22" s="125"/>
      <c r="H22" s="121"/>
      <c r="I22" s="1"/>
    </row>
    <row r="23" spans="1:9" x14ac:dyDescent="0.25">
      <c r="A23" s="1"/>
      <c r="B23" s="122" t="s">
        <v>46</v>
      </c>
      <c r="C23" s="123"/>
      <c r="D23" s="123"/>
      <c r="E23" s="123"/>
      <c r="F23" s="124"/>
      <c r="G23" s="54">
        <f>(SUM(G16:G18)-G19)*(1+'Fane 13. Nøgletal'!C11)</f>
        <v>8238147.9044831311</v>
      </c>
      <c r="H23" s="14" t="s">
        <v>3</v>
      </c>
      <c r="I23" s="1"/>
    </row>
    <row r="24" spans="1:9" x14ac:dyDescent="0.25">
      <c r="A24" s="1"/>
      <c r="B24" s="126" t="s">
        <v>47</v>
      </c>
      <c r="C24" s="127"/>
      <c r="D24" s="127"/>
      <c r="E24" s="127"/>
      <c r="F24" s="128"/>
      <c r="G24" s="54">
        <v>132617.69236287003</v>
      </c>
      <c r="H24" s="14" t="s">
        <v>3</v>
      </c>
      <c r="I24" s="1"/>
    </row>
    <row r="25" spans="1:9" x14ac:dyDescent="0.25">
      <c r="A25" s="1"/>
      <c r="B25" s="122" t="s">
        <v>48</v>
      </c>
      <c r="C25" s="123"/>
      <c r="D25" s="123"/>
      <c r="E25" s="123"/>
      <c r="F25" s="124"/>
      <c r="G25" s="54">
        <f>(G23+G24)*'Fane 13. Nøgletal'!C31</f>
        <v>167415.31193692001</v>
      </c>
      <c r="H25" s="14" t="s">
        <v>3</v>
      </c>
      <c r="I25" s="1"/>
    </row>
    <row r="26" spans="1:9" x14ac:dyDescent="0.25">
      <c r="A26" s="1"/>
      <c r="B26" s="67"/>
      <c r="C26" s="68"/>
      <c r="D26" s="68"/>
      <c r="E26" s="68"/>
      <c r="F26" s="68"/>
      <c r="G26" s="55"/>
      <c r="H26" s="19"/>
      <c r="I26" s="1"/>
    </row>
    <row r="27" spans="1:9" x14ac:dyDescent="0.25">
      <c r="A27" s="1"/>
      <c r="B27" s="1"/>
      <c r="C27" s="1"/>
      <c r="D27" s="1"/>
      <c r="E27" s="1"/>
      <c r="F27" s="1"/>
      <c r="G27" s="56"/>
      <c r="H27" s="1"/>
      <c r="I27" s="1"/>
    </row>
    <row r="28" spans="1:9" x14ac:dyDescent="0.25">
      <c r="A28" s="1"/>
      <c r="B28" s="119" t="s">
        <v>132</v>
      </c>
      <c r="C28" s="120"/>
      <c r="D28" s="120"/>
      <c r="E28" s="120"/>
      <c r="F28" s="120"/>
      <c r="G28" s="125"/>
      <c r="H28" s="121"/>
      <c r="I28" s="1"/>
    </row>
    <row r="29" spans="1:9" x14ac:dyDescent="0.25">
      <c r="A29" s="1"/>
      <c r="B29" s="122" t="s">
        <v>55</v>
      </c>
      <c r="C29" s="123"/>
      <c r="D29" s="123"/>
      <c r="E29" s="123"/>
      <c r="F29" s="124"/>
      <c r="G29" s="54">
        <f>(G23+G24-G25)*(1+'Fane 13. Nøgletal'!C13)</f>
        <v>8303431.1583849723</v>
      </c>
      <c r="H29" s="14" t="s">
        <v>3</v>
      </c>
      <c r="I29" s="1"/>
    </row>
    <row r="30" spans="1:9" x14ac:dyDescent="0.25">
      <c r="A30" s="1"/>
      <c r="B30" s="122" t="s">
        <v>121</v>
      </c>
      <c r="C30" s="123"/>
      <c r="D30" s="123"/>
      <c r="E30" s="123"/>
      <c r="F30" s="124"/>
      <c r="G30" s="54">
        <v>50243.875113599999</v>
      </c>
      <c r="H30" s="14" t="s">
        <v>3</v>
      </c>
      <c r="I30" s="1"/>
    </row>
    <row r="31" spans="1:9" x14ac:dyDescent="0.25">
      <c r="A31" s="1"/>
      <c r="B31" s="122" t="s">
        <v>126</v>
      </c>
      <c r="C31" s="123"/>
      <c r="D31" s="123"/>
      <c r="E31" s="123"/>
      <c r="F31" s="124"/>
      <c r="G31" s="54">
        <f>(G29+G30)*'Fane 13. Nøgletal'!C31</f>
        <v>167073.50066997146</v>
      </c>
      <c r="H31" s="14" t="s">
        <v>3</v>
      </c>
      <c r="I31" s="1"/>
    </row>
    <row r="32" spans="1:9" x14ac:dyDescent="0.25">
      <c r="A32" s="1"/>
      <c r="B32" s="67"/>
      <c r="C32" s="68"/>
      <c r="D32" s="68"/>
      <c r="E32" s="68"/>
      <c r="F32" s="68"/>
      <c r="G32" s="55"/>
      <c r="H32" s="19"/>
      <c r="I32" s="1"/>
    </row>
    <row r="33" spans="1:9" x14ac:dyDescent="0.25">
      <c r="A33" s="1"/>
      <c r="B33" s="1"/>
      <c r="C33" s="1"/>
      <c r="D33" s="1"/>
      <c r="E33" s="1"/>
      <c r="F33" s="1"/>
      <c r="G33" s="56"/>
      <c r="H33" s="1"/>
      <c r="I33" s="1"/>
    </row>
    <row r="34" spans="1:9" x14ac:dyDescent="0.25">
      <c r="A34" s="1"/>
      <c r="B34" s="119" t="s">
        <v>133</v>
      </c>
      <c r="C34" s="120"/>
      <c r="D34" s="120"/>
      <c r="E34" s="120"/>
      <c r="F34" s="120"/>
      <c r="G34" s="125"/>
      <c r="H34" s="121"/>
      <c r="I34" s="1"/>
    </row>
    <row r="35" spans="1:9" x14ac:dyDescent="0.25">
      <c r="A35" s="1"/>
      <c r="B35" s="122" t="s">
        <v>74</v>
      </c>
      <c r="C35" s="123"/>
      <c r="D35" s="123"/>
      <c r="E35" s="123"/>
      <c r="F35" s="124"/>
      <c r="G35" s="54">
        <f>(G29+G30-G31)*(1+'Fane 13. Nøgletal'!C13)</f>
        <v>8286478.07152911</v>
      </c>
      <c r="H35" s="14" t="s">
        <v>3</v>
      </c>
      <c r="I35" s="1"/>
    </row>
    <row r="36" spans="1:9" x14ac:dyDescent="0.25">
      <c r="A36" s="1"/>
      <c r="B36" s="122" t="s">
        <v>152</v>
      </c>
      <c r="C36" s="123"/>
      <c r="D36" s="123"/>
      <c r="E36" s="123"/>
      <c r="F36" s="124"/>
      <c r="G36" s="54">
        <f>('Fane 3. Omkostninger i ØR2022'!E10+'Fane 3. Omkostninger i ØR2022'!E12+'Fane 3. Omkostninger i ØR2022'!E14)*(1+'Fane 13. Nøgletal'!C14)</f>
        <v>583450.79745091009</v>
      </c>
      <c r="H36" s="14" t="s">
        <v>3</v>
      </c>
      <c r="I36" s="1"/>
    </row>
    <row r="37" spans="1:9" x14ac:dyDescent="0.25">
      <c r="A37" s="1"/>
      <c r="B37" s="122" t="s">
        <v>134</v>
      </c>
      <c r="C37" s="123"/>
      <c r="D37" s="123"/>
      <c r="E37" s="123"/>
      <c r="F37" s="124"/>
      <c r="G37" s="54">
        <f>(G35+G36)*'Fane 13. Nøgletal'!C31</f>
        <v>177398.57737960041</v>
      </c>
      <c r="H37" s="14" t="s">
        <v>3</v>
      </c>
      <c r="I37" s="1"/>
    </row>
    <row r="38" spans="1:9" x14ac:dyDescent="0.25">
      <c r="A38" s="1"/>
      <c r="B38" s="67"/>
      <c r="C38" s="68"/>
      <c r="D38" s="68"/>
      <c r="E38" s="68"/>
      <c r="F38" s="68"/>
      <c r="G38" s="55"/>
      <c r="H38" s="19"/>
      <c r="I38" s="1"/>
    </row>
    <row r="39" spans="1:9" x14ac:dyDescent="0.25">
      <c r="A39" s="1"/>
      <c r="B39" s="1"/>
      <c r="C39" s="1"/>
      <c r="D39" s="1"/>
      <c r="E39" s="1"/>
      <c r="F39" s="1"/>
      <c r="G39" s="56"/>
      <c r="H39" s="1"/>
      <c r="I39" s="1"/>
    </row>
    <row r="40" spans="1:9" x14ac:dyDescent="0.25">
      <c r="A40" s="1"/>
      <c r="B40" s="119" t="s">
        <v>198</v>
      </c>
      <c r="C40" s="120"/>
      <c r="D40" s="120"/>
      <c r="E40" s="120"/>
      <c r="F40" s="120"/>
      <c r="G40" s="125"/>
      <c r="H40" s="121"/>
      <c r="I40" s="1"/>
    </row>
    <row r="41" spans="1:9" x14ac:dyDescent="0.25">
      <c r="A41" s="1"/>
      <c r="B41" s="122" t="s">
        <v>73</v>
      </c>
      <c r="C41" s="123"/>
      <c r="D41" s="123"/>
      <c r="E41" s="123"/>
      <c r="F41" s="124"/>
      <c r="G41" s="54">
        <f>(G35+G36-G37)*(1+'Fane 13. Nøgletal'!C15)</f>
        <v>9001984.3699813951</v>
      </c>
      <c r="H41" s="14" t="s">
        <v>3</v>
      </c>
      <c r="I41" s="1"/>
    </row>
    <row r="42" spans="1:9" x14ac:dyDescent="0.25">
      <c r="A42" s="1"/>
      <c r="B42" s="122" t="s">
        <v>197</v>
      </c>
      <c r="C42" s="123"/>
      <c r="D42" s="123"/>
      <c r="E42" s="123"/>
      <c r="F42" s="124"/>
      <c r="G42" s="54">
        <f>('Fane 2.1. Økonomisk ramme 2023'!C9+'Fane 2.1. Økonomisk ramme 2023'!C11+'Fane 2.1. Økonomisk ramme 2023'!C13)*(1+'Fane 13. Nøgletal'!C15)</f>
        <v>435612.64735008008</v>
      </c>
      <c r="H42" s="14" t="s">
        <v>3</v>
      </c>
      <c r="I42" s="1"/>
    </row>
    <row r="43" spans="1:9" x14ac:dyDescent="0.25">
      <c r="A43" s="1"/>
      <c r="B43" s="122" t="s">
        <v>208</v>
      </c>
      <c r="C43" s="123"/>
      <c r="D43" s="123"/>
      <c r="E43" s="123"/>
      <c r="F43" s="124"/>
      <c r="G43" s="54">
        <f>(G41+G42)*'Fane 13. Nøgletal'!C31</f>
        <v>188751.9403466295</v>
      </c>
      <c r="H43" s="14" t="s">
        <v>3</v>
      </c>
      <c r="I43" s="1"/>
    </row>
    <row r="44" spans="1:9" x14ac:dyDescent="0.25">
      <c r="A44" s="1"/>
      <c r="B44" s="67"/>
      <c r="C44" s="68"/>
      <c r="D44" s="68"/>
      <c r="E44" s="68"/>
      <c r="F44" s="68"/>
      <c r="G44" s="55"/>
      <c r="H44" s="19"/>
      <c r="I44" s="1"/>
    </row>
    <row r="45" spans="1:9" x14ac:dyDescent="0.25">
      <c r="A45" s="1"/>
      <c r="B45" s="1"/>
      <c r="C45" s="1"/>
      <c r="D45" s="1"/>
      <c r="E45" s="1"/>
      <c r="F45" s="1"/>
      <c r="G45" s="56"/>
      <c r="H45" s="1"/>
      <c r="I45" s="1"/>
    </row>
    <row r="46" spans="1:9" x14ac:dyDescent="0.25">
      <c r="A46" s="1"/>
      <c r="B46" s="119" t="s">
        <v>199</v>
      </c>
      <c r="C46" s="120"/>
      <c r="D46" s="120"/>
      <c r="E46" s="120"/>
      <c r="F46" s="120"/>
      <c r="G46" s="125"/>
      <c r="H46" s="121"/>
      <c r="I46" s="1"/>
    </row>
    <row r="47" spans="1:9" x14ac:dyDescent="0.25">
      <c r="A47" s="1"/>
      <c r="B47" s="122" t="s">
        <v>122</v>
      </c>
      <c r="C47" s="123"/>
      <c r="D47" s="123"/>
      <c r="E47" s="123"/>
      <c r="F47" s="124"/>
      <c r="G47" s="54">
        <f>(G41+G42-G43)*(1+'Fane 13. Nøgletal'!C15)</f>
        <v>9578103.9617255069</v>
      </c>
      <c r="H47" s="14" t="s">
        <v>3</v>
      </c>
      <c r="I47" s="1"/>
    </row>
    <row r="48" spans="1:9" x14ac:dyDescent="0.25">
      <c r="A48" s="1"/>
      <c r="B48" s="122" t="s">
        <v>209</v>
      </c>
      <c r="C48" s="123"/>
      <c r="D48" s="123"/>
      <c r="E48" s="123"/>
      <c r="F48" s="124"/>
      <c r="G48" s="54">
        <f>(G47)*'Fane 13. Nøgletal'!C31</f>
        <v>191562.07923451014</v>
      </c>
      <c r="H48" s="14" t="s">
        <v>3</v>
      </c>
      <c r="I48" s="1"/>
    </row>
    <row r="49" spans="1:9" x14ac:dyDescent="0.25">
      <c r="A49" s="1"/>
      <c r="B49" s="67"/>
      <c r="C49" s="68"/>
      <c r="D49" s="68"/>
      <c r="E49" s="68"/>
      <c r="F49" s="68"/>
      <c r="G49" s="55"/>
      <c r="H49" s="19"/>
      <c r="I49" s="1"/>
    </row>
    <row r="50" spans="1:9" x14ac:dyDescent="0.25">
      <c r="A50" s="1"/>
      <c r="B50" s="1"/>
      <c r="C50" s="1"/>
      <c r="D50" s="1"/>
      <c r="E50" s="1"/>
      <c r="F50" s="1"/>
      <c r="G50" s="56"/>
      <c r="H50" s="1"/>
      <c r="I50" s="1"/>
    </row>
    <row r="51" spans="1:9" x14ac:dyDescent="0.25">
      <c r="A51" s="1"/>
      <c r="B51" s="119" t="s">
        <v>145</v>
      </c>
      <c r="C51" s="120"/>
      <c r="D51" s="120"/>
      <c r="E51" s="120"/>
      <c r="F51" s="120"/>
      <c r="G51" s="125"/>
      <c r="H51" s="121"/>
      <c r="I51" s="1"/>
    </row>
    <row r="52" spans="1:9" x14ac:dyDescent="0.25">
      <c r="A52" s="1"/>
      <c r="B52" s="122" t="s">
        <v>146</v>
      </c>
      <c r="C52" s="123"/>
      <c r="D52" s="123"/>
      <c r="E52" s="123"/>
      <c r="F52" s="124"/>
      <c r="G52" s="54">
        <f>(G47-G48)*(1+'Fane 13. Nøgletal'!C15)</f>
        <v>9720702.773507677</v>
      </c>
      <c r="H52" s="14" t="s">
        <v>3</v>
      </c>
      <c r="I52" s="1"/>
    </row>
    <row r="53" spans="1:9" x14ac:dyDescent="0.25">
      <c r="A53" s="1"/>
      <c r="B53" s="122" t="s">
        <v>147</v>
      </c>
      <c r="C53" s="123"/>
      <c r="D53" s="123"/>
      <c r="E53" s="123"/>
      <c r="F53" s="124"/>
      <c r="G53" s="54">
        <f>(G52)*'Fane 13. Nøgletal'!C31</f>
        <v>194414.05547015354</v>
      </c>
      <c r="H53" s="14" t="s">
        <v>3</v>
      </c>
      <c r="I53" s="1"/>
    </row>
    <row r="54" spans="1:9" x14ac:dyDescent="0.25">
      <c r="A54" s="1"/>
      <c r="B54" s="67"/>
      <c r="C54" s="68"/>
      <c r="D54" s="68"/>
      <c r="E54" s="68"/>
      <c r="F54" s="68"/>
      <c r="G54" s="55"/>
      <c r="H54" s="19"/>
      <c r="I54" s="1"/>
    </row>
    <row r="55" spans="1:9" x14ac:dyDescent="0.25">
      <c r="A55" s="1"/>
      <c r="B55" s="1"/>
      <c r="C55" s="1"/>
      <c r="D55" s="1"/>
      <c r="E55" s="1"/>
      <c r="F55" s="1"/>
      <c r="G55" s="56"/>
      <c r="H55" s="1"/>
      <c r="I55" s="1"/>
    </row>
    <row r="56" spans="1:9" x14ac:dyDescent="0.25">
      <c r="A56" s="1"/>
      <c r="B56" s="119" t="s">
        <v>174</v>
      </c>
      <c r="C56" s="120"/>
      <c r="D56" s="120"/>
      <c r="E56" s="120"/>
      <c r="F56" s="120"/>
      <c r="G56" s="125"/>
      <c r="H56" s="121"/>
      <c r="I56" s="1"/>
    </row>
    <row r="57" spans="1:9" x14ac:dyDescent="0.25">
      <c r="A57" s="1"/>
      <c r="B57" s="122" t="s">
        <v>175</v>
      </c>
      <c r="C57" s="123"/>
      <c r="D57" s="123"/>
      <c r="E57" s="123"/>
      <c r="F57" s="124"/>
      <c r="G57" s="54">
        <f>(G52-G53)*(1+'Fane 13. Nøgletal'!C15)</f>
        <v>9865424.5963996593</v>
      </c>
      <c r="H57" s="14" t="s">
        <v>3</v>
      </c>
      <c r="I57" s="1"/>
    </row>
    <row r="58" spans="1:9" x14ac:dyDescent="0.25">
      <c r="A58" s="1"/>
      <c r="B58" s="122" t="s">
        <v>176</v>
      </c>
      <c r="C58" s="123"/>
      <c r="D58" s="123"/>
      <c r="E58" s="123"/>
      <c r="F58" s="124"/>
      <c r="G58" s="54">
        <f>(G57)*'Fane 13. Nøgletal'!C31</f>
        <v>197308.49192799319</v>
      </c>
      <c r="H58" s="14" t="s">
        <v>3</v>
      </c>
      <c r="I58" s="1"/>
    </row>
    <row r="59" spans="1:9" x14ac:dyDescent="0.25">
      <c r="A59" s="1"/>
      <c r="B59" s="67"/>
      <c r="C59" s="68"/>
      <c r="D59" s="68"/>
      <c r="E59" s="68"/>
      <c r="F59" s="68"/>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Zj5mUhNHvb6AN3rBA3DfhtBwyTggHj3l4CucRG7e/4TYH8lH+CV0JxXoV2+A+1+lcoq+fVOVVPu0UjAXD/UfWw==" saltValue="7Z+DpsOCWCyh84WOIb5XX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tabSelected="1" view="pageLayout" topLeftCell="A19" zoomScaleNormal="120" workbookViewId="0"/>
  </sheetViews>
  <sheetFormatPr defaultColWidth="9" defaultRowHeight="15" x14ac:dyDescent="0.25"/>
  <cols>
    <col min="1" max="1" width="4.28515625" style="2" customWidth="1"/>
    <col min="2" max="5" width="9" style="2"/>
    <col min="6" max="6" width="25.7109375" style="2" customWidth="1"/>
    <col min="7" max="7" width="10.28515625" style="2" customWidth="1"/>
    <col min="8" max="8" width="2.85546875" style="2" bestFit="1" customWidth="1"/>
    <col min="9" max="9" width="4.28515625" style="2" customWidth="1"/>
    <col min="10" max="16384" width="9" style="2"/>
  </cols>
  <sheetData>
    <row r="1" spans="1:9" x14ac:dyDescent="0.25">
      <c r="A1" s="1"/>
      <c r="B1" s="129" t="s">
        <v>99</v>
      </c>
      <c r="C1" s="130"/>
      <c r="D1" s="130"/>
      <c r="E1" s="130"/>
      <c r="F1" s="130"/>
      <c r="G1" s="130"/>
      <c r="H1" s="130"/>
      <c r="I1" s="1"/>
    </row>
    <row r="2" spans="1:9" ht="19.899999999999999"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9" t="s">
        <v>53</v>
      </c>
      <c r="C4" s="120"/>
      <c r="D4" s="120"/>
      <c r="E4" s="120"/>
      <c r="F4" s="120"/>
      <c r="G4" s="120"/>
      <c r="H4" s="121"/>
      <c r="I4" s="1"/>
    </row>
    <row r="5" spans="1:9" x14ac:dyDescent="0.25">
      <c r="A5" s="1"/>
      <c r="B5" s="122" t="s">
        <v>56</v>
      </c>
      <c r="C5" s="123"/>
      <c r="D5" s="123"/>
      <c r="E5" s="123"/>
      <c r="F5" s="124"/>
      <c r="G5" s="54">
        <v>7053917</v>
      </c>
      <c r="H5" s="14" t="s">
        <v>3</v>
      </c>
      <c r="I5" s="1"/>
    </row>
    <row r="6" spans="1:9" x14ac:dyDescent="0.25">
      <c r="A6" s="1"/>
      <c r="B6" s="122" t="s">
        <v>54</v>
      </c>
      <c r="C6" s="123"/>
      <c r="D6" s="123"/>
      <c r="E6" s="123"/>
      <c r="F6" s="124"/>
      <c r="G6" s="54">
        <f>G5*'Fane 13. Nøgletal'!C20</f>
        <v>64190.644700000004</v>
      </c>
      <c r="H6" s="14" t="s">
        <v>3</v>
      </c>
      <c r="I6" s="1"/>
    </row>
    <row r="7" spans="1:9" x14ac:dyDescent="0.25">
      <c r="A7" s="1"/>
      <c r="B7" s="67"/>
      <c r="C7" s="68"/>
      <c r="D7" s="68"/>
      <c r="E7" s="68"/>
      <c r="F7" s="68"/>
      <c r="G7" s="57"/>
      <c r="H7" s="19"/>
      <c r="I7" s="1"/>
    </row>
    <row r="8" spans="1:9" x14ac:dyDescent="0.25">
      <c r="A8" s="1"/>
      <c r="B8" s="1"/>
      <c r="C8" s="1"/>
      <c r="D8" s="1"/>
      <c r="E8" s="1"/>
      <c r="F8" s="1"/>
      <c r="G8" s="58"/>
      <c r="H8" s="1"/>
      <c r="I8" s="1"/>
    </row>
    <row r="9" spans="1:9" x14ac:dyDescent="0.25">
      <c r="A9" s="1"/>
      <c r="B9" s="119" t="s">
        <v>57</v>
      </c>
      <c r="C9" s="120"/>
      <c r="D9" s="120"/>
      <c r="E9" s="120"/>
      <c r="F9" s="120"/>
      <c r="G9" s="125"/>
      <c r="H9" s="121"/>
      <c r="I9" s="1"/>
    </row>
    <row r="10" spans="1:9" x14ac:dyDescent="0.25">
      <c r="A10" s="1"/>
      <c r="B10" s="122" t="s">
        <v>58</v>
      </c>
      <c r="C10" s="123"/>
      <c r="D10" s="123"/>
      <c r="E10" s="123"/>
      <c r="F10" s="124"/>
      <c r="G10" s="54">
        <f>(G5-G6)*(1+'Fane 13. Nøgletal'!C9)</f>
        <v>7078495.8800123092</v>
      </c>
      <c r="H10" s="14" t="s">
        <v>3</v>
      </c>
      <c r="I10" s="1"/>
    </row>
    <row r="11" spans="1:9" x14ac:dyDescent="0.25">
      <c r="A11" s="1"/>
      <c r="B11" s="126" t="s">
        <v>59</v>
      </c>
      <c r="C11" s="127"/>
      <c r="D11" s="127"/>
      <c r="E11" s="127"/>
      <c r="F11" s="128"/>
      <c r="G11" s="59">
        <v>0</v>
      </c>
      <c r="H11" s="14" t="s">
        <v>3</v>
      </c>
      <c r="I11" s="1"/>
    </row>
    <row r="12" spans="1:9" x14ac:dyDescent="0.25">
      <c r="A12" s="1"/>
      <c r="B12" s="122" t="s">
        <v>60</v>
      </c>
      <c r="C12" s="123"/>
      <c r="D12" s="123"/>
      <c r="E12" s="123"/>
      <c r="F12" s="124"/>
      <c r="G12" s="54">
        <f>G10*'Fane 13. Nøgletal'!C20+G11*'Fane 13. Nøgletal'!C21</f>
        <v>64414.312508112016</v>
      </c>
      <c r="H12" s="14" t="s">
        <v>3</v>
      </c>
      <c r="I12" s="1"/>
    </row>
    <row r="13" spans="1:9" x14ac:dyDescent="0.25">
      <c r="A13" s="1"/>
      <c r="B13" s="67"/>
      <c r="C13" s="68"/>
      <c r="D13" s="68"/>
      <c r="E13" s="68"/>
      <c r="F13" s="68"/>
      <c r="G13" s="57"/>
      <c r="H13" s="19"/>
      <c r="I13" s="1"/>
    </row>
    <row r="14" spans="1:9" x14ac:dyDescent="0.25">
      <c r="A14" s="1"/>
      <c r="B14" s="1"/>
      <c r="C14" s="1"/>
      <c r="D14" s="1"/>
      <c r="E14" s="1"/>
      <c r="F14" s="1"/>
      <c r="G14" s="58"/>
      <c r="H14" s="1"/>
      <c r="I14" s="1"/>
    </row>
    <row r="15" spans="1:9" x14ac:dyDescent="0.25">
      <c r="A15" s="1"/>
      <c r="B15" s="119" t="s">
        <v>61</v>
      </c>
      <c r="C15" s="120"/>
      <c r="D15" s="120"/>
      <c r="E15" s="120"/>
      <c r="F15" s="120"/>
      <c r="G15" s="125"/>
      <c r="H15" s="121"/>
      <c r="I15" s="1"/>
    </row>
    <row r="16" spans="1:9" x14ac:dyDescent="0.25">
      <c r="A16" s="1"/>
      <c r="B16" s="122" t="s">
        <v>62</v>
      </c>
      <c r="C16" s="123"/>
      <c r="D16" s="123"/>
      <c r="E16" s="123"/>
      <c r="F16" s="124"/>
      <c r="G16" s="54">
        <f>(G10+G11-G12)*(1+'Fane 13. Nøgletal'!C11)</f>
        <v>7132619.5459950175</v>
      </c>
      <c r="H16" s="14" t="s">
        <v>3</v>
      </c>
      <c r="I16" s="1"/>
    </row>
    <row r="17" spans="1:9" x14ac:dyDescent="0.25">
      <c r="A17" s="1"/>
      <c r="B17" s="122" t="s">
        <v>109</v>
      </c>
      <c r="C17" s="123"/>
      <c r="D17" s="123"/>
      <c r="E17" s="123"/>
      <c r="F17" s="124"/>
      <c r="G17" s="54">
        <v>-175982.96174009601</v>
      </c>
      <c r="H17" s="14" t="s">
        <v>3</v>
      </c>
      <c r="I17" s="1"/>
    </row>
    <row r="18" spans="1:9" x14ac:dyDescent="0.25">
      <c r="A18" s="1"/>
      <c r="B18" s="126" t="s">
        <v>63</v>
      </c>
      <c r="C18" s="127"/>
      <c r="D18" s="127"/>
      <c r="E18" s="127"/>
      <c r="F18" s="128"/>
      <c r="G18" s="54">
        <v>0</v>
      </c>
      <c r="H18" s="14" t="s">
        <v>3</v>
      </c>
      <c r="I18" s="1"/>
    </row>
    <row r="19" spans="1:9" x14ac:dyDescent="0.25">
      <c r="A19" s="1"/>
      <c r="B19" s="122" t="s">
        <v>64</v>
      </c>
      <c r="C19" s="123"/>
      <c r="D19" s="123"/>
      <c r="E19" s="123"/>
      <c r="F19" s="124"/>
      <c r="G19" s="54">
        <f>(G16+G17+G18)*'Fane 13. Nøgletal'!C22</f>
        <v>60522.73828301781</v>
      </c>
      <c r="H19" s="14" t="s">
        <v>3</v>
      </c>
      <c r="I19" s="1"/>
    </row>
    <row r="20" spans="1:9" x14ac:dyDescent="0.25">
      <c r="A20" s="1"/>
      <c r="B20" s="67"/>
      <c r="C20" s="68"/>
      <c r="D20" s="68"/>
      <c r="E20" s="68"/>
      <c r="F20" s="68"/>
      <c r="G20" s="57"/>
      <c r="H20" s="19"/>
      <c r="I20" s="1"/>
    </row>
    <row r="21" spans="1:9" x14ac:dyDescent="0.25">
      <c r="A21" s="1"/>
      <c r="B21" s="1"/>
      <c r="C21" s="1"/>
      <c r="D21" s="1"/>
      <c r="E21" s="1"/>
      <c r="F21" s="1"/>
      <c r="G21" s="58"/>
      <c r="H21" s="1"/>
      <c r="I21" s="1"/>
    </row>
    <row r="22" spans="1:9" x14ac:dyDescent="0.25">
      <c r="A22" s="1"/>
      <c r="B22" s="119" t="s">
        <v>65</v>
      </c>
      <c r="C22" s="120"/>
      <c r="D22" s="120"/>
      <c r="E22" s="120"/>
      <c r="F22" s="120"/>
      <c r="G22" s="125"/>
      <c r="H22" s="121"/>
      <c r="I22" s="1"/>
    </row>
    <row r="23" spans="1:9" x14ac:dyDescent="0.25">
      <c r="A23" s="1"/>
      <c r="B23" s="122" t="s">
        <v>66</v>
      </c>
      <c r="C23" s="123"/>
      <c r="D23" s="123"/>
      <c r="E23" s="123"/>
      <c r="F23" s="124"/>
      <c r="G23" s="54">
        <f>(SUM(G16:G18)-G19)*(1+'Fane 13. Nøgletal'!C11)</f>
        <v>7012658.1699688286</v>
      </c>
      <c r="H23" s="14" t="s">
        <v>3</v>
      </c>
      <c r="I23" s="1"/>
    </row>
    <row r="24" spans="1:9" x14ac:dyDescent="0.25">
      <c r="A24" s="1"/>
      <c r="B24" s="126" t="s">
        <v>67</v>
      </c>
      <c r="C24" s="127"/>
      <c r="D24" s="127"/>
      <c r="E24" s="127"/>
      <c r="F24" s="128"/>
      <c r="G24" s="54">
        <v>1177434.3154087602</v>
      </c>
      <c r="H24" s="14" t="s">
        <v>3</v>
      </c>
      <c r="I24" s="1"/>
    </row>
    <row r="25" spans="1:9" x14ac:dyDescent="0.25">
      <c r="A25" s="1"/>
      <c r="B25" s="122" t="s">
        <v>68</v>
      </c>
      <c r="C25" s="123"/>
      <c r="D25" s="123"/>
      <c r="E25" s="123"/>
      <c r="F25" s="124"/>
      <c r="G25" s="54">
        <f>G23*'Fane 13. Nøgletal'!C22+G24*'Fane 13. Nøgletal'!C23</f>
        <v>94449.260636337596</v>
      </c>
      <c r="H25" s="14" t="s">
        <v>3</v>
      </c>
      <c r="I25" s="1"/>
    </row>
    <row r="26" spans="1:9" x14ac:dyDescent="0.25">
      <c r="A26" s="1"/>
      <c r="B26" s="67"/>
      <c r="C26" s="68"/>
      <c r="D26" s="68"/>
      <c r="E26" s="68"/>
      <c r="F26" s="68"/>
      <c r="G26" s="57"/>
      <c r="H26" s="19"/>
      <c r="I26" s="1"/>
    </row>
    <row r="27" spans="1:9" x14ac:dyDescent="0.25">
      <c r="A27" s="1"/>
      <c r="B27" s="1"/>
      <c r="C27" s="1"/>
      <c r="D27" s="1"/>
      <c r="E27" s="1"/>
      <c r="F27" s="1"/>
      <c r="G27" s="58"/>
      <c r="H27" s="1"/>
      <c r="I27" s="1"/>
    </row>
    <row r="28" spans="1:9" x14ac:dyDescent="0.25">
      <c r="A28" s="1"/>
      <c r="B28" s="119" t="s">
        <v>130</v>
      </c>
      <c r="C28" s="120"/>
      <c r="D28" s="120"/>
      <c r="E28" s="120"/>
      <c r="F28" s="120"/>
      <c r="G28" s="125"/>
      <c r="H28" s="121"/>
      <c r="I28" s="1"/>
    </row>
    <row r="29" spans="1:9" x14ac:dyDescent="0.25">
      <c r="A29" s="1"/>
      <c r="B29" s="122" t="s">
        <v>69</v>
      </c>
      <c r="C29" s="123"/>
      <c r="D29" s="123"/>
      <c r="E29" s="123"/>
      <c r="F29" s="124"/>
      <c r="G29" s="54">
        <f>(G23+G24-G25)*(1+'Fane 13. Nøgletal'!C13)</f>
        <v>8194410.0720830942</v>
      </c>
      <c r="H29" s="14" t="s">
        <v>3</v>
      </c>
      <c r="I29" s="1"/>
    </row>
    <row r="30" spans="1:9" x14ac:dyDescent="0.25">
      <c r="A30" s="1"/>
      <c r="B30" s="122" t="s">
        <v>123</v>
      </c>
      <c r="C30" s="123"/>
      <c r="D30" s="123"/>
      <c r="E30" s="123"/>
      <c r="F30" s="124"/>
      <c r="G30" s="54">
        <v>43213.420973520006</v>
      </c>
      <c r="H30" s="14" t="s">
        <v>3</v>
      </c>
      <c r="I30" s="1"/>
    </row>
    <row r="31" spans="1:9" x14ac:dyDescent="0.25">
      <c r="A31" s="1"/>
      <c r="B31" s="122" t="s">
        <v>131</v>
      </c>
      <c r="C31" s="123"/>
      <c r="D31" s="123"/>
      <c r="E31" s="123"/>
      <c r="F31" s="124"/>
      <c r="G31" s="54">
        <f>(G29+G30)*'Fane 13. Nøgletal'!C24</f>
        <v>226534.64605905689</v>
      </c>
      <c r="H31" s="14" t="s">
        <v>3</v>
      </c>
      <c r="I31" s="1"/>
    </row>
    <row r="32" spans="1:9" x14ac:dyDescent="0.25">
      <c r="A32" s="1"/>
      <c r="B32" s="67"/>
      <c r="C32" s="68"/>
      <c r="D32" s="68"/>
      <c r="E32" s="68"/>
      <c r="F32" s="68"/>
      <c r="G32" s="57"/>
      <c r="H32" s="19"/>
      <c r="I32" s="1"/>
    </row>
    <row r="33" spans="1:9" x14ac:dyDescent="0.25">
      <c r="A33" s="1"/>
      <c r="B33" s="1"/>
      <c r="C33" s="1"/>
      <c r="D33" s="1"/>
      <c r="E33" s="1"/>
      <c r="F33" s="1"/>
      <c r="G33" s="58"/>
      <c r="H33" s="1"/>
      <c r="I33" s="1"/>
    </row>
    <row r="34" spans="1:9" x14ac:dyDescent="0.25">
      <c r="A34" s="1"/>
      <c r="B34" s="119" t="s">
        <v>135</v>
      </c>
      <c r="C34" s="120"/>
      <c r="D34" s="120"/>
      <c r="E34" s="120"/>
      <c r="F34" s="120"/>
      <c r="G34" s="125"/>
      <c r="H34" s="121"/>
      <c r="I34" s="1"/>
    </row>
    <row r="35" spans="1:9" x14ac:dyDescent="0.25">
      <c r="A35" s="1"/>
      <c r="B35" s="122" t="s">
        <v>72</v>
      </c>
      <c r="C35" s="123"/>
      <c r="D35" s="123"/>
      <c r="E35" s="123"/>
      <c r="F35" s="124"/>
      <c r="G35" s="54">
        <f>(G29+G30-G31)*(1+'Fane 13. Nøgletal'!C13)</f>
        <v>8108824.1309309276</v>
      </c>
      <c r="H35" s="14" t="s">
        <v>3</v>
      </c>
      <c r="I35" s="1"/>
    </row>
    <row r="36" spans="1:9" x14ac:dyDescent="0.25">
      <c r="A36" s="1"/>
      <c r="B36" s="122" t="s">
        <v>141</v>
      </c>
      <c r="C36" s="123"/>
      <c r="D36" s="123"/>
      <c r="E36" s="123"/>
      <c r="F36" s="124"/>
      <c r="G36" s="54">
        <f>SUM('Fane 3. Omkostninger i ØR2022'!E11)*(1+'Fane 13. Nøgletal'!C14)</f>
        <v>615992.5143028301</v>
      </c>
      <c r="H36" s="14" t="s">
        <v>3</v>
      </c>
      <c r="I36" s="1"/>
    </row>
    <row r="37" spans="1:9" x14ac:dyDescent="0.25">
      <c r="A37" s="1"/>
      <c r="B37" s="122" t="s">
        <v>136</v>
      </c>
      <c r="C37" s="123"/>
      <c r="D37" s="123"/>
      <c r="E37" s="123"/>
      <c r="F37" s="124"/>
      <c r="G37" s="54">
        <f>G35*'Fane 13. Nøgletal'!C24+G36*'Fane 13. Nøgletal'!C25</f>
        <v>232109.35281228239</v>
      </c>
      <c r="H37" s="14" t="s">
        <v>3</v>
      </c>
      <c r="I37" s="1"/>
    </row>
    <row r="38" spans="1:9" x14ac:dyDescent="0.25">
      <c r="A38" s="1"/>
      <c r="B38" s="67"/>
      <c r="C38" s="68"/>
      <c r="D38" s="68"/>
      <c r="E38" s="68"/>
      <c r="F38" s="68"/>
      <c r="G38" s="57"/>
      <c r="H38" s="19"/>
      <c r="I38" s="1"/>
    </row>
    <row r="39" spans="1:9" x14ac:dyDescent="0.25">
      <c r="A39" s="1"/>
      <c r="B39" s="1"/>
      <c r="C39" s="1"/>
      <c r="D39" s="1"/>
      <c r="E39" s="1"/>
      <c r="F39" s="1"/>
      <c r="G39" s="58"/>
      <c r="H39" s="1"/>
      <c r="I39" s="1"/>
    </row>
    <row r="40" spans="1:9" x14ac:dyDescent="0.25">
      <c r="A40" s="1"/>
      <c r="B40" s="119" t="s">
        <v>200</v>
      </c>
      <c r="C40" s="120"/>
      <c r="D40" s="120"/>
      <c r="E40" s="120"/>
      <c r="F40" s="120"/>
      <c r="G40" s="125"/>
      <c r="H40" s="121"/>
      <c r="I40" s="1"/>
    </row>
    <row r="41" spans="1:9" x14ac:dyDescent="0.25">
      <c r="A41" s="1"/>
      <c r="B41" s="122" t="s">
        <v>71</v>
      </c>
      <c r="C41" s="123"/>
      <c r="D41" s="123"/>
      <c r="E41" s="123"/>
      <c r="F41" s="124"/>
      <c r="G41" s="54">
        <f>(G35+G36-G37)*(1+'Fane 13. Nøgletal'!C15)</f>
        <v>8795047.6720316801</v>
      </c>
      <c r="H41" s="14" t="s">
        <v>3</v>
      </c>
      <c r="I41" s="1"/>
    </row>
    <row r="42" spans="1:9" x14ac:dyDescent="0.25">
      <c r="A42" s="1"/>
      <c r="B42" s="122" t="s">
        <v>211</v>
      </c>
      <c r="C42" s="123"/>
      <c r="D42" s="123"/>
      <c r="E42" s="123"/>
      <c r="F42" s="124"/>
      <c r="G42" s="59">
        <f>SUM('Fane 2.1. Økonomisk ramme 2023'!C10+'Fane 2.1. Økonomisk ramme 2023'!C12+'Fane 2.1. Økonomisk ramme 2023'!C14)*(1+'Fane 13. Nøgletal'!C15)</f>
        <v>858659.19464304007</v>
      </c>
      <c r="H42" s="14" t="s">
        <v>3</v>
      </c>
      <c r="I42" s="1"/>
    </row>
    <row r="43" spans="1:9" x14ac:dyDescent="0.25">
      <c r="A43" s="1"/>
      <c r="B43" s="122" t="s">
        <v>70</v>
      </c>
      <c r="C43" s="123"/>
      <c r="D43" s="123"/>
      <c r="E43" s="123"/>
      <c r="F43" s="124"/>
      <c r="G43" s="54">
        <f>(G41+G42)*'Fane 13. Nøgletal'!C26</f>
        <v>0</v>
      </c>
      <c r="H43" s="14" t="s">
        <v>3</v>
      </c>
      <c r="I43" s="1"/>
    </row>
    <row r="44" spans="1:9" x14ac:dyDescent="0.25">
      <c r="A44" s="1"/>
      <c r="B44" s="67"/>
      <c r="C44" s="68"/>
      <c r="D44" s="68"/>
      <c r="E44" s="68"/>
      <c r="F44" s="68"/>
      <c r="G44" s="57"/>
      <c r="H44" s="19"/>
      <c r="I44" s="1"/>
    </row>
    <row r="45" spans="1:9" ht="12" customHeight="1" x14ac:dyDescent="0.25">
      <c r="A45" s="1"/>
      <c r="B45" s="1"/>
      <c r="C45" s="1"/>
      <c r="D45" s="1"/>
      <c r="E45" s="1"/>
      <c r="F45" s="1"/>
      <c r="G45" s="58"/>
      <c r="H45" s="1"/>
      <c r="I45" s="1"/>
    </row>
    <row r="46" spans="1:9" x14ac:dyDescent="0.25">
      <c r="A46" s="1"/>
      <c r="B46" s="119" t="s">
        <v>201</v>
      </c>
      <c r="C46" s="120"/>
      <c r="D46" s="120"/>
      <c r="E46" s="120"/>
      <c r="F46" s="120"/>
      <c r="G46" s="125"/>
      <c r="H46" s="121"/>
      <c r="I46" s="1"/>
    </row>
    <row r="47" spans="1:9" x14ac:dyDescent="0.25">
      <c r="A47" s="1"/>
      <c r="B47" s="122" t="s">
        <v>124</v>
      </c>
      <c r="C47" s="123"/>
      <c r="D47" s="123"/>
      <c r="E47" s="123"/>
      <c r="F47" s="124"/>
      <c r="G47" s="54">
        <f>(G41+G42-G43)*(1+'Fane 13. Nøgletal'!C15)</f>
        <v>9997378.8311283402</v>
      </c>
      <c r="H47" s="14" t="s">
        <v>3</v>
      </c>
      <c r="I47" s="1"/>
    </row>
    <row r="48" spans="1:9" x14ac:dyDescent="0.25">
      <c r="A48" s="1"/>
      <c r="B48" s="122" t="s">
        <v>125</v>
      </c>
      <c r="C48" s="123"/>
      <c r="D48" s="123"/>
      <c r="E48" s="123"/>
      <c r="F48" s="124"/>
      <c r="G48" s="54">
        <f>(G47)*'Fane 13. Nøgletal'!C26</f>
        <v>0</v>
      </c>
      <c r="H48" s="14" t="s">
        <v>3</v>
      </c>
      <c r="I48" s="1"/>
    </row>
    <row r="49" spans="1:9" x14ac:dyDescent="0.25">
      <c r="A49" s="1"/>
      <c r="B49" s="67"/>
      <c r="C49" s="68"/>
      <c r="D49" s="68"/>
      <c r="E49" s="68"/>
      <c r="F49" s="68"/>
      <c r="G49" s="57"/>
      <c r="H49" s="19"/>
      <c r="I49" s="1"/>
    </row>
    <row r="50" spans="1:9" x14ac:dyDescent="0.25">
      <c r="A50" s="1"/>
      <c r="B50" s="1"/>
      <c r="C50" s="1"/>
      <c r="D50" s="1"/>
      <c r="E50" s="1"/>
      <c r="F50" s="1"/>
      <c r="G50" s="58"/>
      <c r="H50" s="1"/>
      <c r="I50" s="1"/>
    </row>
    <row r="51" spans="1:9" x14ac:dyDescent="0.25">
      <c r="A51" s="1"/>
      <c r="B51" s="119" t="s">
        <v>142</v>
      </c>
      <c r="C51" s="120"/>
      <c r="D51" s="120"/>
      <c r="E51" s="120"/>
      <c r="F51" s="120"/>
      <c r="G51" s="125"/>
      <c r="H51" s="121"/>
      <c r="I51" s="1"/>
    </row>
    <row r="52" spans="1:9" x14ac:dyDescent="0.25">
      <c r="A52" s="1"/>
      <c r="B52" s="122" t="s">
        <v>143</v>
      </c>
      <c r="C52" s="123"/>
      <c r="D52" s="123"/>
      <c r="E52" s="123"/>
      <c r="F52" s="124"/>
      <c r="G52" s="54">
        <f>(G47-G48)*(1+'Fane 13. Nøgletal'!C15)</f>
        <v>10353285.517516511</v>
      </c>
      <c r="H52" s="14" t="s">
        <v>3</v>
      </c>
      <c r="I52" s="1"/>
    </row>
    <row r="53" spans="1:9" x14ac:dyDescent="0.25">
      <c r="A53" s="1"/>
      <c r="B53" s="122" t="s">
        <v>144</v>
      </c>
      <c r="C53" s="123"/>
      <c r="D53" s="123"/>
      <c r="E53" s="123"/>
      <c r="F53" s="124"/>
      <c r="G53" s="54">
        <f>(G52)*'Fane 13. Nøgletal'!C26</f>
        <v>0</v>
      </c>
      <c r="H53" s="14" t="s">
        <v>3</v>
      </c>
      <c r="I53" s="1"/>
    </row>
    <row r="54" spans="1:9" x14ac:dyDescent="0.25">
      <c r="A54" s="1"/>
      <c r="B54" s="67"/>
      <c r="C54" s="68"/>
      <c r="D54" s="68"/>
      <c r="E54" s="68"/>
      <c r="F54" s="68"/>
      <c r="G54" s="57"/>
      <c r="H54" s="19"/>
      <c r="I54" s="1"/>
    </row>
    <row r="55" spans="1:9" x14ac:dyDescent="0.25">
      <c r="A55" s="1"/>
      <c r="B55" s="1"/>
      <c r="C55" s="1"/>
      <c r="D55" s="1"/>
      <c r="E55" s="1"/>
      <c r="F55" s="1"/>
      <c r="G55" s="58"/>
      <c r="H55" s="1"/>
      <c r="I55" s="1"/>
    </row>
    <row r="56" spans="1:9" x14ac:dyDescent="0.25">
      <c r="A56" s="1"/>
      <c r="B56" s="119" t="s">
        <v>177</v>
      </c>
      <c r="C56" s="120"/>
      <c r="D56" s="120"/>
      <c r="E56" s="120"/>
      <c r="F56" s="120"/>
      <c r="G56" s="125"/>
      <c r="H56" s="121"/>
      <c r="I56" s="1"/>
    </row>
    <row r="57" spans="1:9" x14ac:dyDescent="0.25">
      <c r="A57" s="1"/>
      <c r="B57" s="122" t="s">
        <v>178</v>
      </c>
      <c r="C57" s="123"/>
      <c r="D57" s="123"/>
      <c r="E57" s="123"/>
      <c r="F57" s="124"/>
      <c r="G57" s="54">
        <f>(G52-G53)*(1+'Fane 13. Nøgletal'!C15)</f>
        <v>10721862.4819401</v>
      </c>
      <c r="H57" s="14" t="s">
        <v>3</v>
      </c>
      <c r="I57" s="1"/>
    </row>
    <row r="58" spans="1:9" x14ac:dyDescent="0.25">
      <c r="A58" s="1"/>
      <c r="B58" s="122" t="s">
        <v>179</v>
      </c>
      <c r="C58" s="123"/>
      <c r="D58" s="123"/>
      <c r="E58" s="123"/>
      <c r="F58" s="124"/>
      <c r="G58" s="54">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2AvGWXFhL5aXXX8m8Qm6pIPLtrvuGKJJaQFdMX/t8vsfy8xjVF40/nATzWnOiz0NB2H3diGDuVHPl4h3euhRcQ==" saltValue="ejhYM248V9cvbcdkS29VZw=="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election activeCell="L35" sqref="L35"/>
    </sheetView>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6" t="s">
        <v>82</v>
      </c>
      <c r="C3" s="96"/>
      <c r="D3" s="96"/>
      <c r="E3" s="96"/>
      <c r="F3" s="96"/>
      <c r="G3" s="96"/>
      <c r="H3" s="1"/>
    </row>
    <row r="4" spans="1:8" ht="15" customHeight="1" x14ac:dyDescent="0.25">
      <c r="A4" s="1"/>
      <c r="B4" s="96"/>
      <c r="C4" s="96"/>
      <c r="D4" s="96"/>
      <c r="E4" s="96"/>
      <c r="F4" s="96"/>
      <c r="G4" s="9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3" t="s">
        <v>9</v>
      </c>
      <c r="C8" s="133"/>
      <c r="D8" s="133"/>
      <c r="E8" s="133"/>
      <c r="F8" s="133"/>
      <c r="G8" s="133"/>
      <c r="H8" s="1"/>
    </row>
    <row r="9" spans="1:8" x14ac:dyDescent="0.25">
      <c r="A9" s="1"/>
      <c r="B9" s="77" t="s">
        <v>180</v>
      </c>
      <c r="C9" s="77"/>
      <c r="D9" s="77"/>
      <c r="E9" s="77"/>
      <c r="F9" s="77"/>
      <c r="G9" s="28">
        <v>0.02</v>
      </c>
      <c r="H9" s="1"/>
    </row>
    <row r="10" spans="1:8" x14ac:dyDescent="0.25">
      <c r="A10" s="1"/>
      <c r="B10" s="25"/>
      <c r="C10" s="25"/>
      <c r="D10" s="25"/>
      <c r="E10" s="25"/>
      <c r="F10" s="25"/>
      <c r="G10" s="25"/>
      <c r="H10" s="1"/>
    </row>
    <row r="11" spans="1:8" x14ac:dyDescent="0.25">
      <c r="A11" s="1"/>
      <c r="B11" s="1"/>
      <c r="C11" s="1"/>
      <c r="D11" s="1"/>
      <c r="E11" s="1"/>
      <c r="F11" s="1"/>
      <c r="G11" s="1"/>
      <c r="H11" s="1"/>
    </row>
    <row r="12" spans="1:8" ht="31.5" customHeight="1" x14ac:dyDescent="0.25">
      <c r="A12" s="1"/>
      <c r="B12" s="132" t="s">
        <v>202</v>
      </c>
      <c r="C12" s="132"/>
      <c r="D12" s="132"/>
      <c r="E12" s="132"/>
      <c r="F12" s="132"/>
      <c r="G12" s="132"/>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QHbe/fbtPdv6zTqEiSja07bsAHYVGamfqc+CTJSjgZEzGzNgbbhrwKfWIYnvpflO56L5bBwctfBlBIc6fLAVQ==" saltValue="s1pfZ4TWGYCviwzBtog18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2022-12-01T09:11:31Z</dcterms:modified>
</cp:coreProperties>
</file>