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2"/>
  <workbookPr codeName="Denne_projektmappe" defaultThemeVersion="124226"/>
  <mc:AlternateContent xmlns:mc="http://schemas.openxmlformats.org/markup-compatibility/2006">
    <mc:Choice Requires="x15">
      <x15ac:absPath xmlns:x15ac="http://schemas.microsoft.com/office/spreadsheetml/2010/11/ac" url="E:\VAND\Sagsbehandling\Drikkevand\FORS Vand Holbæk AS (V094)\ØR2024\"/>
    </mc:Choice>
  </mc:AlternateContent>
  <xr:revisionPtr revIDLastSave="0" documentId="13_ncr:1_{79EE72F6-853D-468D-AB47-0B7CCBB20D35}" xr6:coauthVersionLast="36" xr6:coauthVersionMax="36" xr10:uidLastSave="{00000000-0000-0000-0000-000000000000}"/>
  <bookViews>
    <workbookView xWindow="3105" yWindow="990" windowWidth="12735" windowHeight="4620" tabRatio="872" xr2:uid="{00000000-000D-0000-FFFF-FFFF00000000}"/>
  </bookViews>
  <sheets>
    <sheet name="1. Forside" sheetId="1" r:id="rId1"/>
    <sheet name="Fane 2.1. Økonomisk ramme 2024" sheetId="2" r:id="rId2"/>
    <sheet name="Fane 2.2. Økonomisk ramme 2025" sheetId="15" r:id="rId3"/>
    <sheet name="Fane 2.3. Økonomisk ramme 2026" sheetId="22" r:id="rId4"/>
    <sheet name="Fane 2.4. Økonomisk ramme 2027" sheetId="23" r:id="rId5"/>
    <sheet name="Fane 3. Omkostninger i ØR2023" sheetId="27" r:id="rId6"/>
    <sheet name="Fane 4.1. Gen. krav - drift" sheetId="30" r:id="rId7"/>
    <sheet name="Fane 4.2. Gen. krav - anlæg" sheetId="36" r:id="rId8"/>
    <sheet name="Fane 5. Individuelt eff. krav" sheetId="31" r:id="rId9"/>
    <sheet name="Fane 6. Ikke-påvirkelige omk." sheetId="19" r:id="rId10"/>
    <sheet name="Fane 7. Kontrol af ØR2022" sheetId="43" r:id="rId11"/>
    <sheet name="Fane 8. Skattesagen" sheetId="40" r:id="rId12"/>
    <sheet name="Fane 9. Anlægsprojekter (§ 19) " sheetId="11" r:id="rId13"/>
    <sheet name="Fane 10.1. Varige tillæg" sheetId="37" r:id="rId14"/>
    <sheet name="Fane 10.2. Engangstillæg" sheetId="39" r:id="rId15"/>
    <sheet name="Fane 11. Tilknyttet virksomhed" sheetId="29" r:id="rId16"/>
    <sheet name="Fane 12. Bortfald" sheetId="21" r:id="rId17"/>
    <sheet name="Fane 13. Nøgletal" sheetId="26" r:id="rId18"/>
  </sheets>
  <externalReferences>
    <externalReference r:id="rId19"/>
    <externalReference r:id="rId20"/>
    <externalReference r:id="rId21"/>
  </externalReferences>
  <definedNames>
    <definedName name="Pris19">[1]Nøgletal!$C$5</definedName>
    <definedName name="Pris20">[2]Nøgletal!$C$6</definedName>
    <definedName name="Pris21">[2]Nøgletal!$C$7</definedName>
    <definedName name="Pris21UnderSpild">[2]Nøgletal!$E$7</definedName>
    <definedName name="PrisDecimal19">[3]Nøgletal!$B$5</definedName>
    <definedName name="PrisDecimal20">[3]Nøgletal!$B$6</definedName>
    <definedName name="PrisDecimal21">[3]Nøgletal!$B$7</definedName>
    <definedName name="PrisDecimal21UnderSpild">[3]Nøgletal!$D$7</definedName>
    <definedName name="PrisDecimal22">[3]Nøgletal!$B$8</definedName>
    <definedName name="Tabel_Fane_11">'Fane 11. Tilknyttet virksomhed'!$B$8:$F$14</definedName>
    <definedName name="Tabel_Fane_12">'Fane 12. Bortfald'!$B$10:$F$14</definedName>
    <definedName name="Tabel_Fane_2_1">'Fane 2.1. Økonomisk ramme 2024'!$B$7:$D$33</definedName>
    <definedName name="Tabel_Fane_2_2">'Fane 2.2. Økonomisk ramme 2025'!$B$7:$D$20</definedName>
    <definedName name="Tabel_Fane_2_3">'Fane 2.3. Økonomisk ramme 2026'!$B$7:$D$20</definedName>
    <definedName name="Tabel_Fane_2_4">'Fane 2.4. Økonomisk ramme 2027'!$B$7:$D$20</definedName>
    <definedName name="Tabel_Fane_3">'Fane 3. Omkostninger i ØR2023'!$B$7:$D$33</definedName>
  </definedNames>
  <calcPr calcId="191029"/>
</workbook>
</file>

<file path=xl/calcChain.xml><?xml version="1.0" encoding="utf-8"?>
<calcChain xmlns="http://schemas.openxmlformats.org/spreadsheetml/2006/main">
  <c r="C29" i="2" l="1"/>
  <c r="E23" i="43"/>
  <c r="E31" i="43" s="1"/>
  <c r="E33" i="43" s="1"/>
  <c r="C17" i="22" s="1"/>
  <c r="C17" i="15" l="1"/>
  <c r="E27" i="43"/>
  <c r="G25" i="30" l="1"/>
  <c r="C8" i="2" l="1"/>
  <c r="C13" i="29" l="1"/>
  <c r="C14" i="29" s="1"/>
  <c r="E12" i="39" l="1"/>
  <c r="C12" i="39"/>
  <c r="C31" i="2" l="1"/>
  <c r="E13" i="39" l="1"/>
  <c r="C13" i="39"/>
  <c r="J11" i="11"/>
  <c r="H11" i="11"/>
  <c r="F10" i="11" l="1"/>
  <c r="F11" i="11" s="1"/>
  <c r="C19" i="23" l="1"/>
  <c r="C19" i="22"/>
  <c r="C19" i="15"/>
  <c r="G18" i="40"/>
  <c r="E13" i="29" l="1"/>
  <c r="C19" i="19"/>
  <c r="C20" i="19" s="1"/>
  <c r="C15" i="23" l="1"/>
  <c r="C15" i="15"/>
  <c r="C15" i="22"/>
  <c r="E14" i="29"/>
  <c r="C14" i="2" s="1"/>
  <c r="E10" i="37"/>
  <c r="E17" i="37" s="1"/>
  <c r="E18" i="37" s="1"/>
  <c r="C10" i="37"/>
  <c r="C17" i="37" s="1"/>
  <c r="C18" i="37" s="1"/>
  <c r="G6" i="30" l="1"/>
  <c r="C23" i="2" l="1"/>
  <c r="C25" i="2" s="1"/>
  <c r="G10" i="30" l="1"/>
  <c r="G12" i="30" s="1"/>
  <c r="C10" i="2" l="1"/>
  <c r="E13" i="21"/>
  <c r="E14" i="21" s="1"/>
  <c r="C13" i="21"/>
  <c r="C14" i="21" s="1"/>
  <c r="C11" i="2" l="1"/>
  <c r="C12" i="2"/>
  <c r="G48" i="36" s="1"/>
  <c r="C24" i="2" l="1"/>
  <c r="C26" i="2" s="1"/>
  <c r="C27" i="2" l="1"/>
  <c r="G6" i="36"/>
  <c r="G10" i="36" s="1"/>
  <c r="G12" i="36" l="1"/>
  <c r="G16" i="36" s="1"/>
  <c r="G16" i="30"/>
  <c r="G19" i="30" s="1"/>
  <c r="G19" i="36" l="1"/>
  <c r="G23" i="30"/>
  <c r="G23" i="36" l="1"/>
  <c r="G25" i="36" s="1"/>
  <c r="G29" i="36" s="1"/>
  <c r="G29" i="30"/>
  <c r="G31" i="30" s="1"/>
  <c r="G31" i="36" l="1"/>
  <c r="G35" i="36" s="1"/>
  <c r="G35" i="30" l="1"/>
  <c r="G37" i="30" l="1"/>
  <c r="G41" i="30" s="1"/>
  <c r="C9" i="2"/>
  <c r="C13" i="2"/>
  <c r="G48" i="30" l="1"/>
  <c r="C21" i="2"/>
  <c r="G43" i="30" l="1"/>
  <c r="G47" i="30" s="1"/>
  <c r="G49" i="30" l="1"/>
  <c r="C17" i="2" s="1"/>
  <c r="G37" i="36"/>
  <c r="G41" i="36" s="1"/>
  <c r="G53" i="30" l="1"/>
  <c r="G54" i="30" s="1"/>
  <c r="G43" i="36"/>
  <c r="G47" i="36" s="1"/>
  <c r="G58" i="30" l="1"/>
  <c r="G59" i="30" s="1"/>
  <c r="C11" i="15"/>
  <c r="G49" i="36"/>
  <c r="C18" i="2" s="1"/>
  <c r="C15" i="2"/>
  <c r="G53" i="36" l="1"/>
  <c r="G54" i="36" s="1"/>
  <c r="G63" i="30"/>
  <c r="G64" i="30" s="1"/>
  <c r="C11" i="23" s="1"/>
  <c r="C11" i="22"/>
  <c r="C16" i="2"/>
  <c r="C19" i="2" s="1"/>
  <c r="C32" i="2" l="1"/>
  <c r="G58" i="36"/>
  <c r="G59" i="36" s="1"/>
  <c r="C12" i="22" s="1"/>
  <c r="C12" i="15"/>
  <c r="C8" i="15" l="1"/>
  <c r="C9" i="15" s="1"/>
  <c r="C10" i="15" s="1"/>
  <c r="G63" i="36"/>
  <c r="G64" i="36" s="1"/>
  <c r="C12" i="23" s="1"/>
  <c r="C13" i="15" l="1"/>
  <c r="C20" i="15" s="1"/>
  <c r="C8" i="22" l="1"/>
  <c r="C9" i="22" s="1"/>
  <c r="C10" i="22" s="1"/>
  <c r="C13" i="22" s="1"/>
  <c r="C20" i="22" s="1"/>
  <c r="C8" i="23" l="1"/>
  <c r="C9" i="23" l="1"/>
  <c r="C10" i="23" s="1"/>
  <c r="C13" i="23" s="1"/>
  <c r="C20" i="23" s="1"/>
</calcChain>
</file>

<file path=xl/sharedStrings.xml><?xml version="1.0" encoding="utf-8"?>
<sst xmlns="http://schemas.openxmlformats.org/spreadsheetml/2006/main" count="548" uniqueCount="265">
  <si>
    <t>Beskrivelse af investeringen</t>
  </si>
  <si>
    <t>Std. levetid (år)</t>
  </si>
  <si>
    <t>Afskrivning</t>
  </si>
  <si>
    <t>kr.</t>
  </si>
  <si>
    <t>Bilag A</t>
  </si>
  <si>
    <t>Indholdsfortegnelse</t>
  </si>
  <si>
    <t>Fane 2.1</t>
  </si>
  <si>
    <t>Fane 5</t>
  </si>
  <si>
    <t>Fane 8</t>
  </si>
  <si>
    <t>Individuelt effektiviseringskrav</t>
  </si>
  <si>
    <t>Driftsomkostninger</t>
  </si>
  <si>
    <t>Ikke-påvirkelige omkostninger</t>
  </si>
  <si>
    <t>Oversigt over den økonomiske ramme</t>
  </si>
  <si>
    <t>Prisudvikling</t>
  </si>
  <si>
    <t>Fane 2.2</t>
  </si>
  <si>
    <t>Beskrivelse af tillæg</t>
  </si>
  <si>
    <t>Beskrivelse af bortfald eller nedsættelse</t>
  </si>
  <si>
    <t>Prisudvikling i kr.</t>
  </si>
  <si>
    <t>år</t>
  </si>
  <si>
    <t>Omkostninger i alt</t>
  </si>
  <si>
    <t>Vejledende</t>
  </si>
  <si>
    <t>Prisudvikling til brug for nye omkostninger i ØR2018</t>
  </si>
  <si>
    <t>Generelt effektiviseringskrav - Drift</t>
  </si>
  <si>
    <t>Generelt effektiviseringskrav - Anlæg</t>
  </si>
  <si>
    <t>Bortfald eller nedsættelse af omkostninger - Anlæg</t>
  </si>
  <si>
    <t>Bortfald eller nedsættelse af omkostninger - Drift</t>
  </si>
  <si>
    <t>Finansielle omkostninger</t>
  </si>
  <si>
    <t>Anlægsomkostninger</t>
  </si>
  <si>
    <t>Beskrivelse af ikke-påvirkelige omkostninger</t>
  </si>
  <si>
    <t>- Heraf Faktisk eller planlagt genanbringelse af væsentlige indtægter</t>
  </si>
  <si>
    <t>Fane 2.3</t>
  </si>
  <si>
    <t>Fane 2.4</t>
  </si>
  <si>
    <t>Bortfald</t>
  </si>
  <si>
    <t>Nye tillæg - Drift</t>
  </si>
  <si>
    <t>Nye tillæg - Anlæg</t>
  </si>
  <si>
    <t>Prisudvikling til brug for nye omkostninger i ØR2020</t>
  </si>
  <si>
    <t>Driftsomkostninger i grundlaget til de økonomiske rammer for 2017</t>
  </si>
  <si>
    <t>Generelt effektiviseringskrav til driftsomkostningerne i ØR17</t>
  </si>
  <si>
    <t>Base for driftsomkostninger til de økonomiske rammer for 2018</t>
  </si>
  <si>
    <t>Generelt effektiviseringskrav til driftsomkostningerne i ØR18</t>
  </si>
  <si>
    <t>Base for driftsomkostninger til de økonomiske rammer for 2019</t>
  </si>
  <si>
    <t>Generelt effektiviseringskrav til driftsomkostningerne i ØR19</t>
  </si>
  <si>
    <t>Base for driftsomkostninger til de økonomiske rammer for 2020</t>
  </si>
  <si>
    <t>Generelt effektiviseringskrav til driftsomkostningerne i ØR20</t>
  </si>
  <si>
    <t>Generelt effektiviseringskrav til driftsomkostninger i de økonomiske rammer for 2017</t>
  </si>
  <si>
    <t>Generelt effektiviseringskrav til driftsomkostninger i de økonomiske rammer for 2018</t>
  </si>
  <si>
    <t>Generelt effektiviseringskrav til driftsomkostninger i de økonomiske rammer for 2019</t>
  </si>
  <si>
    <t>Generelt effektiviseringskrav til driftsomkostninger i de økonomiske rammer for 2020</t>
  </si>
  <si>
    <t>Generelt effektiviseringskrav til anlægsomkostninger i de økonomiske rammer for 2017</t>
  </si>
  <si>
    <t>Generelt effektiviseringskrav til anlægsomkostningerne i ØR17</t>
  </si>
  <si>
    <t>Base for driftsomkostninger til de økonomiske rammer for 2021</t>
  </si>
  <si>
    <t>Anlægssomkostninger i grundlaget til de økonomiske rammer for 2017</t>
  </si>
  <si>
    <t>Generelt effektiviseringskrav til anlægsomkostninger i de økonomiske rammer for 2018</t>
  </si>
  <si>
    <t>Base for anlægsomkostninger til de økonomiske rammer for 2018</t>
  </si>
  <si>
    <t>Nye anlægsomkostninger til de økonomiske rammer for 2018</t>
  </si>
  <si>
    <t>Generelt effektiviseringskrav til anlægsomkostningerne i ØR18</t>
  </si>
  <si>
    <t>Generelt effektiviseringskrav til anlægsomkostninger i de økonomiske rammer for 2019</t>
  </si>
  <si>
    <t>Base for anlægsomkostninger til de økonomiske rammer for 2019</t>
  </si>
  <si>
    <t>Nye anlægsomkostninger til de økonomiske rammer for 2019</t>
  </si>
  <si>
    <t>Generelt effektiviseringskrav til anlægsomkostningerne i ØR19</t>
  </si>
  <si>
    <t>Generelt effektiviseringskrav til anlægsomkostninger i de økonomiske rammer for 2020</t>
  </si>
  <si>
    <t>Base for anlægsomkostninger til de økonomiske rammer for 2020</t>
  </si>
  <si>
    <t>Nye anlægsomkostninger til de økonomiske rammer for 2020</t>
  </si>
  <si>
    <t>Generelt effektiviseringskrav til anlægsomkostningerne i ØR20</t>
  </si>
  <si>
    <t>Base for anlægsomkostninger til de økonomiske rammer for 2021</t>
  </si>
  <si>
    <t>Vejledende generelt effektiviseringskrav til anlægsomkostningerne i ØR23</t>
  </si>
  <si>
    <t>Base for anlægsomkostninger til de vejledende økonomiske rammer for 2023</t>
  </si>
  <si>
    <t>Base for anlægsomkostninger til de vejledende økonomiske rammer for 2022</t>
  </si>
  <si>
    <t>Base for driftsomkostninger til de vejledende økonomiske rammer for 2023</t>
  </si>
  <si>
    <t>Base for driftsomkostninger til de vejledende økonomiske rammer for 2022</t>
  </si>
  <si>
    <t>Nye varige tillæg</t>
  </si>
  <si>
    <t>Engangstillæg - Drift</t>
  </si>
  <si>
    <t>Engangstillæg - Anlæg</t>
  </si>
  <si>
    <t>Fane 7</t>
  </si>
  <si>
    <t>Varige tillæg</t>
  </si>
  <si>
    <t>Engangstillæg</t>
  </si>
  <si>
    <t>Engangstillæg i alt</t>
  </si>
  <si>
    <t>Fane 5: Individuelt effektiviseringskrav</t>
  </si>
  <si>
    <t>Bortfald eller nedsættelse i alt i 2022-prisniveau</t>
  </si>
  <si>
    <t>Generelt effektiviseringskrav på drift</t>
  </si>
  <si>
    <t>Generelt effektiviseringskrav på anlæg</t>
  </si>
  <si>
    <t>Generelt effektiviseringskrav til anlægsomkostningerne</t>
  </si>
  <si>
    <t>Generelt effektiviseringskrav til driftsomkostningerne</t>
  </si>
  <si>
    <t>Fane 12</t>
  </si>
  <si>
    <t>Nøgletal</t>
  </si>
  <si>
    <t>Antal år i næste reguleringsperiode</t>
  </si>
  <si>
    <t>Fane 4.1</t>
  </si>
  <si>
    <t>Fane 4.2</t>
  </si>
  <si>
    <t>Fane 6</t>
  </si>
  <si>
    <t>Fane 11</t>
  </si>
  <si>
    <t>Fane 4.1: Generelt effektiviseringskrav til driftsomkostningerne</t>
  </si>
  <si>
    <t>Fane 4.2: Generelt effektiviseringskrav til anlægsomkostningerne</t>
  </si>
  <si>
    <t>Fane 6: Ikke-påvirkelige omkostninger</t>
  </si>
  <si>
    <t>Prisudvikling til brug for ØR2017-2018</t>
  </si>
  <si>
    <t>Prisudvikling til brug for ØR2019-2020</t>
  </si>
  <si>
    <t>Generelt effektiviseringskrav til brug for anlægsomkostninger i ØR2017-2018</t>
  </si>
  <si>
    <t>Generelt effektiviseringskrav til brug for nye anlægsomkostninger i ØR2018</t>
  </si>
  <si>
    <t>Generelt effektiviseringskrav til brug for anlægsomkostninger i ØR2019-2020</t>
  </si>
  <si>
    <t>Generelt effektiviseringskrav til brug for nye anlægsomkostninger i ØR2020</t>
  </si>
  <si>
    <t>Generelt effektiviseringskrav til brug for driftsomkostninger</t>
  </si>
  <si>
    <t>Korrektion af driftsomkostninger i grundlaget</t>
  </si>
  <si>
    <t>Korrektion af anlægsomkostninger i grundlaget</t>
  </si>
  <si>
    <t>Fane 3</t>
  </si>
  <si>
    <t>Tilknyttet virksomhed</t>
  </si>
  <si>
    <t>Tilknyttet virksomhed under hovedvirksomheden</t>
  </si>
  <si>
    <t>Beskrivelse af tilknyttet virksomhed</t>
  </si>
  <si>
    <t>Tidligere tilknyttet virksomhed - Drift</t>
  </si>
  <si>
    <t>Tidligere tilknyttet virksomhed - Anlæg</t>
  </si>
  <si>
    <t>Videreførte omkostninger fra den økonomiske ramme for 2022</t>
  </si>
  <si>
    <t>Videreførte omkostninger fra den økonomiske ramme for 2023</t>
  </si>
  <si>
    <t>Prisudvikling til brug for nye omkostninger i ØR2021</t>
  </si>
  <si>
    <t>Generelt effektiviseringskrav til brug for nye anlægsomkostninger i ØR2021</t>
  </si>
  <si>
    <t>Base for driftsomkostninger til de vejledende økonomiske rammer for 2024</t>
  </si>
  <si>
    <t>Nye anlægsomkostninger til de økonomiske rammer for 2021</t>
  </si>
  <si>
    <t>Base for anlægsomkostninger til de vejledende økonomiske rammer for 2024</t>
  </si>
  <si>
    <t>Generelt effektiviseringskrav til driftsomkostningerne i ØR21</t>
  </si>
  <si>
    <t>Kontrol med de økonomiske rammer til indregning</t>
  </si>
  <si>
    <t>Kontrol med overholdelse af økonomiske rammer</t>
  </si>
  <si>
    <t>Kontrol med overholdelse af den økonomiske ramme</t>
  </si>
  <si>
    <t>Generelt effektiviseringskrav til anlægsomkostninger i de økonomiske rammer for 2021</t>
  </si>
  <si>
    <t>Generelt effektiviseringskrav til anlægsomkostningerne i ØR21</t>
  </si>
  <si>
    <t>Generelt effektiviseringskrav til driftsomkostninger i de økonomiske rammer for 2021</t>
  </si>
  <si>
    <t>Generelt effektiviseringskrav til driftsomkostninger i de økonomiske rammer for 2022</t>
  </si>
  <si>
    <t>Generelt effektiviseringskrav til driftsomkostningerne i ØR22</t>
  </si>
  <si>
    <t>Generelt effektiviseringskrav til anlægsomkostninger i de økonomiske rammer for 2022</t>
  </si>
  <si>
    <t>Generelt effektiviseringskrav til anlægsomkostningerne i ØR22</t>
  </si>
  <si>
    <t>Økonomisk ramme for 2024</t>
  </si>
  <si>
    <t>Videreførte omkostninger fra den økonomiske ramme for 2024</t>
  </si>
  <si>
    <t>Økonomisk ramme for 2025</t>
  </si>
  <si>
    <t>Nye anlægsomkostninger i de økonomiske rammer for 2022</t>
  </si>
  <si>
    <t>Generelt effektiviseringskrav til anlægsomkostninger i de vejledende økonomiske rammer for 2025</t>
  </si>
  <si>
    <t>Base for anlægsomkostninger til de vejledende økonomiske rammer for 2025</t>
  </si>
  <si>
    <t>Vejledende generelt effektiviseringskrav til anlægsomkostningerne i ØR25</t>
  </si>
  <si>
    <t>Generelt effektiviseringskrav til driftsomkostninger i de vejledende økonomiske rammer for 2025</t>
  </si>
  <si>
    <t>Base for driftsomkostninger til de vejledende økonomiske rammer for 2025</t>
  </si>
  <si>
    <t>Vejledende generelt effektiviseringskrav til driftsomkostningerne i ØR25</t>
  </si>
  <si>
    <t>Prisudvikling til brug for nye omkostninger i ØR2022</t>
  </si>
  <si>
    <t>Generelt effektiviseringskrav til brug for nye anlægsomkostninger i ØR2022</t>
  </si>
  <si>
    <t xml:space="preserve">Indtægter fra tilbagebetalt skat eller sambeskatningsbidrag som følge af skattesagen </t>
  </si>
  <si>
    <t xml:space="preserve">Nedsættelse af økonomisk ramme som følge af skattesagen </t>
  </si>
  <si>
    <t>Allerede indregnet fradrag i jeres økonomiske rammer</t>
  </si>
  <si>
    <t>Vejledende økonomisk ramme for 2026</t>
  </si>
  <si>
    <t>Videreførte omkostninger fra den økonomiske ramme for 2025</t>
  </si>
  <si>
    <t>Økonomisk ramme for 2026</t>
  </si>
  <si>
    <t>Generelt effektiviseringskrav til driftsomkostninger i de vejledende økonomiske rammer for 2026</t>
  </si>
  <si>
    <t>Base for driftsomkostninger til de vejledende økonomiske rammer for 2026</t>
  </si>
  <si>
    <t>Vejledende generelt effektiviseringskrav til driftsomkostningerne i ØR26</t>
  </si>
  <si>
    <t>Generelt effektiviseringskrav til anlægsomkostninger i de vejledende økonomiske rammer for 2026</t>
  </si>
  <si>
    <t>Base for anlægsomkostninger til de vejledende økonomiske rammer for 2026</t>
  </si>
  <si>
    <t>Vejledende generelt effektiviseringskrav til anlægsomkostningerne i ØR26</t>
  </si>
  <si>
    <t>Individuelt effektiviseringskrav til de økonomiske rammer for 2023-2024</t>
  </si>
  <si>
    <t>Nye tillæg i alt i 2022-prisniveau</t>
  </si>
  <si>
    <t>Tilknyttet virksomhed under hovedvirksomheden i alt (2022-prisniveau)</t>
  </si>
  <si>
    <t xml:space="preserve">Prisudvikling til brug for nye omkostninger i ØR2023 </t>
  </si>
  <si>
    <t>Generelt effektiviseringskrav til brug for nye anlægsomkostninger i ØR2023</t>
  </si>
  <si>
    <t>Anlægsprojekter igangsat senest den 1. marts 2016</t>
  </si>
  <si>
    <t>Nye varige driftsomkostninger til de økonomiske rammer for 2023</t>
  </si>
  <si>
    <t>Generelt effektiviseringskrav til driftsomkostninger i de økonomiske rammer for 2023</t>
  </si>
  <si>
    <t>Generelt effektiviseringskrav til driftsomkostninger i de økonomiske rammer for 2024</t>
  </si>
  <si>
    <t>Generelt effektiviseringskrav til anlægsomkostninger i de økonomiske rammer for 2023</t>
  </si>
  <si>
    <t>Generelt effektiviseringskrav til anlægsomkostninger i de økonomiske rammer for 2024</t>
  </si>
  <si>
    <t>Anlægsprojekter igangsat inden 1. marts 2016</t>
  </si>
  <si>
    <t>Samlet økonomisk ramme for 2024</t>
  </si>
  <si>
    <t xml:space="preserve">Anlægsprojekter (§ 19) </t>
  </si>
  <si>
    <t>Effektiviseringskrav (generelt og individuelt) – Drift</t>
  </si>
  <si>
    <t>Effektiviseringskrav (generelt og individuelt) – Anlæg</t>
  </si>
  <si>
    <t>Generelt effektiviseringskrav til driftsomkostningerne i ØR23</t>
  </si>
  <si>
    <t>Generelt effektiviseringskrav til driftsomkostningerne i ØR24</t>
  </si>
  <si>
    <t xml:space="preserve"> </t>
  </si>
  <si>
    <t>Nye anlægsomkostninger til de økonomiske rammer for 2023</t>
  </si>
  <si>
    <t>Anskaffelses-pris</t>
  </si>
  <si>
    <t>Drifts-omkostninger</t>
  </si>
  <si>
    <t>Fane 9</t>
  </si>
  <si>
    <t>Fane 10.1</t>
  </si>
  <si>
    <t>Fane 10.2</t>
  </si>
  <si>
    <t>Fane 13</t>
  </si>
  <si>
    <t>Skattesagen</t>
  </si>
  <si>
    <t>Fane 9: Anlægsprojekter igangsat senest den 1. marts 2016</t>
  </si>
  <si>
    <t>Fane 10.1: Varige tillæg</t>
  </si>
  <si>
    <t>Fane 10.2: Engangstillæg</t>
  </si>
  <si>
    <t>Fane 11: Tilknyttet virksomhed under hovedvirksomheden</t>
  </si>
  <si>
    <t>Fane 12: Bortfald eller nedsættelse af omkostninger til mål, medfinansiering eller udvidelse</t>
  </si>
  <si>
    <t>Fane 13: Nøgletal</t>
  </si>
  <si>
    <t>Fane 8: Indtægter til tilbagebetaling som følge af skattesagen</t>
  </si>
  <si>
    <t>Tilbagebetaling af indtægter som følge af skattesagen (jf. § 18 stk. 6)</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</si>
  <si>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</si>
  <si>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</si>
  <si>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</si>
  <si>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</si>
  <si>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</si>
  <si>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</si>
  <si>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</si>
  <si>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</si>
  <si>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Samlet tilbagebetaling</t>
  </si>
  <si>
    <t>Vejledende økonomisk ramme for 2027</t>
  </si>
  <si>
    <t>Omkostninger i ØR2023</t>
  </si>
  <si>
    <t>Kontrol af den økonomiske ramme for 2022</t>
  </si>
  <si>
    <t>Vejledende økonomisk ramme for 2025</t>
  </si>
  <si>
    <t>Fane 2.1: Samlet økonomisk ramme for 2024</t>
  </si>
  <si>
    <t>Fane 2.2: Samlet økonomisk ramme for 2025</t>
  </si>
  <si>
    <t>Fane 2.3: Samlet økonomisk ramme for 2026</t>
  </si>
  <si>
    <t>Fane 3: Videreførte omkostninger fra den økonomiske ramme for 2023</t>
  </si>
  <si>
    <t>Oversigt over den økonomiske ramme for 2023</t>
  </si>
  <si>
    <t>Videreførte omkostninger fra den økonomiske ramme for 2026</t>
  </si>
  <si>
    <t>Fane 2.4: Samlet økonomisk ramme for 2027</t>
  </si>
  <si>
    <t>Økonomisk ramme for 2027</t>
  </si>
  <si>
    <t>Nye varige driftsomkostninger til de økonomiske rammer for 2024</t>
  </si>
  <si>
    <t>Prisudvikling til brug for nye omkostninger i ØR2024</t>
  </si>
  <si>
    <t>Generelt effektiviseringskrav til brug for nye anlægsomkostninger i ØR2024</t>
  </si>
  <si>
    <t>Nye tillæg i alt i 2023-prisniveau</t>
  </si>
  <si>
    <t>Nye varige anlægsomkostninger til de økonomiske rammer for 2024</t>
  </si>
  <si>
    <t>Generelt effektiviseringskrav til anlægsomkostningerne i ØR24</t>
  </si>
  <si>
    <t>Omkostninger i 2022</t>
  </si>
  <si>
    <t>Ikke-påvirkelige omkostninger i 2022-prisniveau</t>
  </si>
  <si>
    <t>Ikke-påvirkelige omkostninger i 2024-prisniveau</t>
  </si>
  <si>
    <t>Omkostninger til § 19-tillæg i alt - 2022 prisniveau</t>
  </si>
  <si>
    <t>Tilknyttet virksomhed under hovedvirksomheden i alt (2023-prisniveau)</t>
  </si>
  <si>
    <t>Engangstillæg til de økonomiske rammer for 2024</t>
  </si>
  <si>
    <t>Engangstillæg i alt i 2022-prisniveau</t>
  </si>
  <si>
    <t>Engangstillæg i alt i 2024-prisniveau</t>
  </si>
  <si>
    <t>Generelt effektiviseringskrav til driftsomkostninger i de vejledende økonomiske rammer for 2027</t>
  </si>
  <si>
    <t>Base for driftsomkostninger til de vejledende økonomiske rammer for 2027</t>
  </si>
  <si>
    <t>Vejledende generelt effektiviseringskrav til driftsomkostningerne i ØR27</t>
  </si>
  <si>
    <t>Generelt effektiviseringskrav til anlægsomkostninger i de vejledende økonomiske rammer for 2027</t>
  </si>
  <si>
    <t>Base for anlægsomkostninger til de vejledende økonomiske rammer for 2027</t>
  </si>
  <si>
    <t>Vejledende generelt effektiviseringskrav til anlægsomkostningerne i ØR27</t>
  </si>
  <si>
    <t>Faktiske ikke-påvirkelige omkostninger i 2022</t>
  </si>
  <si>
    <t>Fane 7: Kontrol med overholdelse af den økonomiske ramme for 2022</t>
  </si>
  <si>
    <t>Nye varige driftsomkostninger til de økonomiske rammer for 2018</t>
  </si>
  <si>
    <t>Nye varige driftsomkostninger til de økonomiske rammer for 2019</t>
  </si>
  <si>
    <t>Nye varige driftsomkostninger til de økonomiske rammer for 2020</t>
  </si>
  <si>
    <t>Nye varige driftsomkostninger til de økonomiske rammer for 2021</t>
  </si>
  <si>
    <t>Nye varige driftsomkostninger til de økonomiske rammer for 2022</t>
  </si>
  <si>
    <t>Bortfald eller nedsættelse i alt i 2023-prisniveau</t>
  </si>
  <si>
    <t>Fradrag i den økonomiske ramme i årene</t>
  </si>
  <si>
    <t>Til statusmeddelelse for 2024</t>
  </si>
  <si>
    <t xml:space="preserve">Note: Denne opgørelse er taget fra jeres afgørelse om økonomiske rammer for 2023-2024. I kan derfor ikke komme med høringssvar til denne opgørelse. </t>
  </si>
  <si>
    <t>Bortfald eller nedsættelse fra og med de økonomiske rammer for 2024</t>
  </si>
  <si>
    <t>Ingen anlægsprojekter</t>
  </si>
  <si>
    <t xml:space="preserve">Økonomisk ramme for </t>
  </si>
  <si>
    <t xml:space="preserve">Note: Denne opgørelse er taget fra jeres økonomiske ramme for 2023. I kan derfor ikke komme med høringssvar til denne opgørelse. </t>
  </si>
  <si>
    <t>Ingen tilknyttet virksomhed under hovedvirksomheden</t>
  </si>
  <si>
    <t>Ingen bortfald eller nedsættelse</t>
  </si>
  <si>
    <t>Afgift for ledningsført vand</t>
  </si>
  <si>
    <t>Afgift til Forsyningssekretariatet</t>
  </si>
  <si>
    <t>Ejendomsskat</t>
  </si>
  <si>
    <t>Tjenestemandspensioner</t>
  </si>
  <si>
    <t>Erstatninger</t>
  </si>
  <si>
    <t>Frivillige aftaler om dyrkningspraksis eller andre restriktioner i arealanvendelse</t>
  </si>
  <si>
    <t>Tidligere opgjorte over/underdækninger</t>
  </si>
  <si>
    <t>Over/underdækning i 2021</t>
  </si>
  <si>
    <t xml:space="preserve">Note: Opgørelsen af overholdelse af den økonomiske ramme for 2021 taget fra jeres tidligere fremsendte afgørelse. I kan derfor ikke komme med høringssvar til denne opgørelse. Positive værdier er udtryk for at rammerne er overholdt (underdækning) og negative værdier er udtryk for at rammerne ikke er overholdt (overdækning). </t>
  </si>
  <si>
    <t>Indregnet fradrag i økonomisk ramme for 2023</t>
  </si>
  <si>
    <t>Indregnet fradrag i økonomisk ramme for 2024</t>
  </si>
  <si>
    <t xml:space="preserve">Note: Opgørelsen af fradraget i 2023-2024 er taget fra jeres tidligere fremsendte afgørelse. I kan derfor ikke komme med høringssvar til denne opgørelse. </t>
  </si>
  <si>
    <t>Kontrol med overholdelse af den økonomiske ramme for 2022</t>
  </si>
  <si>
    <t>Indtægtsramme i den økonomiske ramme for 2022</t>
  </si>
  <si>
    <t>Faktiske indtægter i 2022</t>
  </si>
  <si>
    <t>Resultat af kontrol med overholdelse af den økonomiske rammer for 2022</t>
  </si>
  <si>
    <t>Korrektion af fradrag i den økonomiske ramme for 2024</t>
  </si>
  <si>
    <t>Tillæg/fradrag i den økonomiske ramme for 2024</t>
  </si>
  <si>
    <t>Til indregning i de økonomiske rammer for 2025-2026</t>
  </si>
  <si>
    <t>FVH-000031- Fjernaflæste målere i Holbæk</t>
  </si>
  <si>
    <t>FVH- Byggemodninger 2022</t>
  </si>
  <si>
    <t>FVH-000068-000004 Grundvandsbeskyttelse, BNBO (Holbæk)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</si>
</sst>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 #,##0.00_ ;_ * \-#,##0.00_ ;_ * &quot;-&quot;??_ ;_ @_ "/>
    <numFmt numFmtId="165" formatCode="_ * #,##0_ ;_ * \-#,##0_ ;_ * &quot;-&quot;??_ ;_ @_ "/>
    <numFmt numFmtId="166" formatCode="##,##0"/>
  </numFmts>
  <fonts count="14"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s>
  <fills count="10">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9E0B1D"/>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5">
    <xf numFmtId="0" fontId="0" fillId="0" borderId="0"/>
    <xf numFmtId="164" fontId="10" fillId="0" borderId="0" applyFont="0" applyFill="0" applyBorder="0" applyAlignment="0" applyProtection="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41">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8" borderId="1" xfId="0" applyNumberFormat="1" applyFont="1" applyFill="1" applyBorder="1" applyAlignment="1" applyProtection="1">
      <alignment wrapText="1"/>
    </xf>
    <xf numFmtId="0" fontId="8" fillId="8" borderId="1" xfId="0" applyFont="1" applyFill="1" applyBorder="1" applyAlignment="1" applyProtection="1">
      <alignment wrapText="1"/>
    </xf>
    <xf numFmtId="3" fontId="8" fillId="8" borderId="1" xfId="0" applyNumberFormat="1" applyFont="1" applyFill="1" applyBorder="1" applyProtection="1"/>
    <xf numFmtId="3" fontId="8" fillId="4" borderId="1" xfId="0" applyNumberFormat="1" applyFont="1" applyFill="1" applyBorder="1" applyProtection="1"/>
    <xf numFmtId="0" fontId="8" fillId="4" borderId="1" xfId="0" applyFont="1" applyFill="1" applyBorder="1" applyAlignment="1" applyProtection="1">
      <alignment wrapText="1"/>
    </xf>
    <xf numFmtId="3" fontId="7" fillId="3" borderId="1" xfId="0" applyNumberFormat="1" applyFont="1" applyFill="1" applyBorder="1" applyProtection="1"/>
    <xf numFmtId="0" fontId="7" fillId="3" borderId="1" xfId="0" applyFont="1" applyFill="1" applyBorder="1" applyProtection="1"/>
    <xf numFmtId="0" fontId="8" fillId="8"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7" fillId="3" borderId="3" xfId="0" applyFont="1" applyFill="1" applyBorder="1" applyAlignment="1" applyProtection="1"/>
    <xf numFmtId="0" fontId="7" fillId="3" borderId="2" xfId="0" applyFont="1" applyFill="1" applyBorder="1" applyAlignment="1" applyProtection="1">
      <alignment wrapText="1"/>
    </xf>
    <xf numFmtId="3" fontId="8" fillId="8" borderId="1" xfId="0" applyNumberFormat="1" applyFont="1" applyFill="1" applyBorder="1" applyAlignment="1" applyProtection="1"/>
    <xf numFmtId="165" fontId="8" fillId="8" borderId="1" xfId="1" applyNumberFormat="1" applyFont="1" applyFill="1" applyBorder="1" applyProtection="1"/>
    <xf numFmtId="49" fontId="8" fillId="8" borderId="2" xfId="0" applyNumberFormat="1" applyFont="1" applyFill="1" applyBorder="1" applyAlignment="1" applyProtection="1"/>
    <xf numFmtId="0" fontId="8" fillId="8" borderId="2" xfId="0" quotePrefix="1" applyFont="1" applyFill="1" applyBorder="1" applyAlignment="1" applyProtection="1">
      <alignment horizontal="left" wrapText="1"/>
    </xf>
    <xf numFmtId="0" fontId="8" fillId="8" borderId="1" xfId="0" applyFont="1" applyFill="1" applyBorder="1" applyAlignment="1" applyProtection="1"/>
    <xf numFmtId="0" fontId="7" fillId="3" borderId="1" xfId="0" applyFont="1" applyFill="1" applyBorder="1" applyAlignment="1" applyProtection="1"/>
    <xf numFmtId="49" fontId="8" fillId="8" borderId="2" xfId="0" applyNumberFormat="1" applyFont="1" applyFill="1" applyBorder="1" applyAlignment="1" applyProtection="1">
      <alignment horizontal="left"/>
    </xf>
    <xf numFmtId="3" fontId="8" fillId="8" borderId="1" xfId="0" quotePrefix="1" applyNumberFormat="1" applyFont="1" applyFill="1" applyBorder="1" applyProtection="1"/>
    <xf numFmtId="0" fontId="8" fillId="8" borderId="2" xfId="0" quotePrefix="1" applyFont="1" applyFill="1" applyBorder="1" applyAlignment="1" applyProtection="1">
      <alignment wrapText="1"/>
    </xf>
    <xf numFmtId="0" fontId="8" fillId="4" borderId="3" xfId="0" applyFont="1" applyFill="1" applyBorder="1" applyAlignment="1" applyProtection="1">
      <alignment wrapText="1"/>
    </xf>
    <xf numFmtId="1" fontId="8" fillId="0" borderId="1" xfId="0" applyNumberFormat="1" applyFont="1" applyFill="1" applyBorder="1" applyProtection="1"/>
    <xf numFmtId="0" fontId="8" fillId="4" borderId="2" xfId="0" applyFont="1" applyFill="1" applyBorder="1" applyAlignment="1" applyProtection="1"/>
    <xf numFmtId="3" fontId="7" fillId="3" borderId="6" xfId="0" applyNumberFormat="1" applyFont="1" applyFill="1" applyBorder="1" applyAlignment="1" applyProtection="1"/>
    <xf numFmtId="0" fontId="0" fillId="8" borderId="0" xfId="0" applyFill="1" applyProtection="1"/>
    <xf numFmtId="165" fontId="7" fillId="3" borderId="6" xfId="1" applyNumberFormat="1" applyFont="1" applyFill="1" applyBorder="1" applyAlignment="1" applyProtection="1"/>
    <xf numFmtId="165" fontId="0" fillId="2" borderId="0" xfId="1" applyNumberFormat="1" applyFont="1" applyFill="1" applyProtection="1"/>
    <xf numFmtId="165" fontId="0" fillId="0" borderId="0" xfId="1" applyNumberFormat="1" applyFont="1" applyProtection="1"/>
    <xf numFmtId="0" fontId="0" fillId="2" borderId="0" xfId="0" applyFill="1" applyAlignment="1" applyProtection="1">
      <alignment horizontal="right"/>
    </xf>
    <xf numFmtId="0" fontId="7" fillId="3" borderId="3" xfId="0" applyFont="1" applyFill="1" applyBorder="1" applyAlignment="1" applyProtection="1">
      <alignment horizontal="right"/>
    </xf>
    <xf numFmtId="10" fontId="8" fillId="8" borderId="1" xfId="4" applyNumberFormat="1" applyFont="1" applyFill="1" applyBorder="1" applyAlignment="1" applyProtection="1">
      <alignment horizontal="right"/>
    </xf>
    <xf numFmtId="10" fontId="8" fillId="0" borderId="3" xfId="4" applyNumberFormat="1" applyFont="1" applyFill="1" applyBorder="1" applyAlignment="1" applyProtection="1">
      <alignment horizontal="right"/>
    </xf>
    <xf numFmtId="10" fontId="8" fillId="0" borderId="1" xfId="4" applyNumberFormat="1" applyFont="1" applyFill="1" applyBorder="1" applyAlignment="1" applyProtection="1">
      <alignment horizontal="right"/>
    </xf>
    <xf numFmtId="0" fontId="0" fillId="0" borderId="0" xfId="0" applyAlignment="1" applyProtection="1">
      <alignment horizontal="right"/>
    </xf>
    <xf numFmtId="0" fontId="0" fillId="0" borderId="0" xfId="0" applyFill="1" applyProtection="1"/>
    <xf numFmtId="3" fontId="8" fillId="0" borderId="1" xfId="0" applyNumberFormat="1" applyFont="1" applyFill="1" applyBorder="1" applyProtection="1"/>
    <xf numFmtId="0" fontId="0" fillId="0" borderId="0" xfId="0" applyFill="1" applyAlignment="1" applyProtection="1">
      <alignment horizontal="right"/>
    </xf>
    <xf numFmtId="166" fontId="8" fillId="8" borderId="1" xfId="1" applyNumberFormat="1" applyFont="1" applyFill="1" applyBorder="1" applyProtection="1"/>
    <xf numFmtId="166" fontId="8" fillId="8" borderId="1" xfId="0" applyNumberFormat="1" applyFont="1" applyFill="1" applyBorder="1" applyProtection="1"/>
    <xf numFmtId="165" fontId="8" fillId="4" borderId="1" xfId="1" applyNumberFormat="1" applyFont="1" applyFill="1" applyBorder="1" applyProtection="1"/>
    <xf numFmtId="164" fontId="7" fillId="3" borderId="6" xfId="1" applyFont="1" applyFill="1" applyBorder="1" applyAlignment="1" applyProtection="1"/>
    <xf numFmtId="0" fontId="8" fillId="0" borderId="1" xfId="0" applyFont="1" applyFill="1" applyBorder="1" applyAlignment="1" applyProtection="1"/>
    <xf numFmtId="10" fontId="8" fillId="0" borderId="1" xfId="0" applyNumberFormat="1" applyFont="1" applyFill="1" applyBorder="1" applyProtection="1"/>
    <xf numFmtId="0" fontId="7" fillId="3" borderId="2" xfId="0" applyFont="1" applyFill="1" applyBorder="1" applyAlignment="1" applyProtection="1"/>
    <xf numFmtId="0" fontId="7" fillId="3" borderId="6" xfId="0" applyFont="1" applyFill="1" applyBorder="1" applyAlignment="1" applyProtection="1"/>
    <xf numFmtId="0" fontId="8" fillId="4" borderId="2" xfId="0" applyFont="1" applyFill="1" applyBorder="1" applyAlignment="1" applyProtection="1">
      <alignment wrapText="1"/>
    </xf>
    <xf numFmtId="0" fontId="8" fillId="8" borderId="2" xfId="0" applyFont="1" applyFill="1" applyBorder="1" applyAlignment="1" applyProtection="1">
      <alignment wrapText="1"/>
    </xf>
    <xf numFmtId="1" fontId="8" fillId="8" borderId="1" xfId="1" applyNumberFormat="1" applyFont="1" applyFill="1" applyBorder="1" applyProtection="1"/>
    <xf numFmtId="1" fontId="8" fillId="4" borderId="1" xfId="1" applyNumberFormat="1" applyFont="1" applyFill="1" applyBorder="1" applyProtection="1"/>
    <xf numFmtId="49" fontId="8" fillId="8" borderId="2" xfId="0" applyNumberFormat="1" applyFont="1" applyFill="1" applyBorder="1" applyAlignment="1" applyProtection="1">
      <alignment wrapText="1"/>
    </xf>
    <xf numFmtId="3" fontId="0" fillId="2" borderId="0" xfId="0" applyNumberFormat="1" applyFill="1" applyProtection="1"/>
    <xf numFmtId="0" fontId="2" fillId="2" borderId="0" xfId="0" quotePrefix="1" applyFont="1" applyFill="1" applyAlignment="1" applyProtection="1">
      <alignment horizontal="center" vertical="center" wrapText="1"/>
    </xf>
    <xf numFmtId="0" fontId="13" fillId="2" borderId="0" xfId="0" applyFont="1" applyFill="1" applyProtection="1"/>
    <xf numFmtId="3" fontId="8" fillId="4" borderId="1" xfId="0" applyNumberFormat="1" applyFont="1" applyFill="1" applyBorder="1" applyAlignment="1" applyProtection="1">
      <alignment horizontal="right"/>
    </xf>
    <xf numFmtId="3" fontId="8" fillId="8" borderId="1" xfId="0" applyNumberFormat="1" applyFont="1" applyFill="1" applyBorder="1" applyAlignment="1" applyProtection="1">
      <alignment horizontal="right"/>
    </xf>
    <xf numFmtId="0" fontId="2" fillId="2" borderId="0" xfId="0" applyFont="1" applyFill="1" applyAlignment="1" applyProtection="1">
      <alignment horizontal="center" vertical="center" wrapText="1"/>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4" borderId="1" xfId="0" applyFont="1" applyFill="1" applyBorder="1" applyAlignment="1" applyProtection="1">
      <alignment horizontal="left"/>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49" fontId="8" fillId="8" borderId="2" xfId="0" applyNumberFormat="1" applyFont="1" applyFill="1" applyBorder="1" applyAlignment="1" applyProtection="1">
      <alignment horizontal="left" wrapText="1"/>
    </xf>
    <xf numFmtId="0" fontId="1" fillId="7" borderId="4" xfId="2" applyFont="1" applyFill="1" applyBorder="1" applyAlignment="1" applyProtection="1">
      <alignment horizontal="center"/>
    </xf>
    <xf numFmtId="0" fontId="1" fillId="7" borderId="0" xfId="2" applyFont="1" applyFill="1" applyBorder="1" applyAlignment="1" applyProtection="1">
      <alignment horizontal="center"/>
    </xf>
    <xf numFmtId="0" fontId="1" fillId="7" borderId="5" xfId="2" applyFont="1" applyFill="1" applyBorder="1" applyAlignment="1" applyProtection="1">
      <alignment horizontal="center"/>
    </xf>
    <xf numFmtId="0" fontId="1" fillId="9" borderId="8" xfId="2" applyFont="1" applyFill="1" applyBorder="1" applyAlignment="1" applyProtection="1">
      <alignment horizontal="center"/>
    </xf>
    <xf numFmtId="0" fontId="1" fillId="9" borderId="7" xfId="2" applyFont="1" applyFill="1" applyBorder="1" applyAlignment="1" applyProtection="1">
      <alignment horizontal="center"/>
    </xf>
    <xf numFmtId="0" fontId="1" fillId="9" borderId="9" xfId="2" applyFont="1" applyFill="1" applyBorder="1" applyAlignment="1" applyProtection="1">
      <alignment horizontal="center"/>
    </xf>
    <xf numFmtId="0" fontId="1" fillId="6" borderId="4" xfId="2" applyFont="1" applyFill="1" applyBorder="1" applyAlignment="1" applyProtection="1">
      <alignment horizontal="center"/>
    </xf>
    <xf numFmtId="0" fontId="1" fillId="6" borderId="0" xfId="2" applyFont="1" applyFill="1" applyBorder="1" applyAlignment="1" applyProtection="1">
      <alignment horizontal="center"/>
    </xf>
    <xf numFmtId="0" fontId="1" fillId="6" borderId="5" xfId="2" applyFont="1" applyFill="1" applyBorder="1" applyAlignment="1" applyProtection="1">
      <alignment horizontal="center"/>
    </xf>
    <xf numFmtId="0" fontId="1" fillId="3" borderId="4" xfId="2" applyFont="1" applyFill="1" applyBorder="1" applyAlignment="1" applyProtection="1">
      <alignment horizontal="center"/>
    </xf>
    <xf numFmtId="0" fontId="1" fillId="3" borderId="0" xfId="2" applyFont="1" applyFill="1" applyBorder="1" applyAlignment="1" applyProtection="1">
      <alignment horizontal="center"/>
    </xf>
    <xf numFmtId="0" fontId="1" fillId="3" borderId="5" xfId="2" applyFont="1" applyFill="1" applyBorder="1" applyAlignment="1" applyProtection="1">
      <alignment horizontal="center"/>
    </xf>
    <xf numFmtId="0" fontId="4" fillId="2" borderId="0" xfId="0" applyFont="1" applyFill="1" applyAlignment="1" applyProtection="1">
      <alignment horizontal="center" vertic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5" borderId="4" xfId="2" applyFont="1" applyFill="1" applyBorder="1" applyAlignment="1" applyProtection="1">
      <alignment horizontal="center"/>
    </xf>
    <xf numFmtId="0" fontId="1" fillId="5" borderId="0" xfId="2" applyFont="1" applyFill="1" applyBorder="1" applyAlignment="1" applyProtection="1">
      <alignment horizontal="center"/>
    </xf>
    <xf numFmtId="0" fontId="1" fillId="5" borderId="5" xfId="2"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8" fillId="0" borderId="11" xfId="0" applyFont="1" applyFill="1" applyBorder="1" applyAlignment="1" applyProtection="1">
      <alignment vertical="center" wrapText="1"/>
    </xf>
    <xf numFmtId="0" fontId="2" fillId="2" borderId="0" xfId="0" applyFont="1" applyFill="1" applyAlignment="1" applyProtection="1">
      <alignment horizontal="center"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xf numFmtId="0" fontId="8" fillId="8" borderId="6" xfId="0" applyFont="1" applyFill="1" applyBorder="1" applyAlignment="1" applyProtection="1"/>
    <xf numFmtId="0" fontId="8" fillId="8" borderId="3" xfId="0" applyFont="1" applyFill="1" applyBorder="1" applyAlignment="1" applyProtection="1"/>
    <xf numFmtId="0" fontId="2" fillId="2" borderId="0" xfId="0" applyFont="1" applyFill="1" applyAlignment="1" applyProtection="1">
      <alignment horizontal="center" wrapText="1"/>
    </xf>
    <xf numFmtId="0" fontId="0" fillId="0" borderId="0" xfId="0" applyAlignment="1" applyProtection="1">
      <alignment horizontal="center" wrapText="1"/>
    </xf>
    <xf numFmtId="0" fontId="0" fillId="0" borderId="7" xfId="0" applyBorder="1" applyAlignment="1" applyProtection="1">
      <alignment horizontal="center" wrapText="1"/>
    </xf>
    <xf numFmtId="0" fontId="8" fillId="8" borderId="10" xfId="0" applyFont="1" applyFill="1" applyBorder="1" applyAlignment="1" applyProtection="1">
      <alignment horizontal="left" vertical="top" wrapText="1"/>
    </xf>
    <xf numFmtId="0" fontId="8" fillId="8" borderId="11" xfId="0" applyFont="1" applyFill="1" applyBorder="1" applyAlignment="1" applyProtection="1">
      <alignment horizontal="left" vertical="top" wrapText="1"/>
    </xf>
    <xf numFmtId="0" fontId="8" fillId="8" borderId="12" xfId="0" applyFont="1" applyFill="1" applyBorder="1" applyAlignment="1" applyProtection="1">
      <alignment horizontal="left" vertical="top" wrapText="1"/>
    </xf>
    <xf numFmtId="0" fontId="8" fillId="8" borderId="8" xfId="0" applyFont="1" applyFill="1" applyBorder="1" applyAlignment="1" applyProtection="1">
      <alignment horizontal="left" vertical="top" wrapText="1"/>
    </xf>
    <xf numFmtId="0" fontId="8" fillId="8" borderId="7" xfId="0" applyFont="1" applyFill="1" applyBorder="1" applyAlignment="1" applyProtection="1">
      <alignment horizontal="left" vertical="top" wrapText="1"/>
    </xf>
    <xf numFmtId="0" fontId="8" fillId="8" borderId="9" xfId="0" applyFont="1" applyFill="1" applyBorder="1" applyAlignment="1" applyProtection="1">
      <alignment horizontal="left" vertical="top" wrapText="1"/>
    </xf>
    <xf numFmtId="0" fontId="8" fillId="8" borderId="2" xfId="0" applyFont="1" applyFill="1" applyBorder="1" applyAlignment="1" applyProtection="1">
      <alignment horizontal="left" wrapText="1"/>
    </xf>
    <xf numFmtId="0" fontId="8" fillId="8" borderId="6" xfId="0" applyFont="1" applyFill="1" applyBorder="1" applyAlignment="1" applyProtection="1">
      <alignment horizontal="left" wrapText="1"/>
    </xf>
    <xf numFmtId="0" fontId="8" fillId="8" borderId="3" xfId="0" applyFont="1" applyFill="1" applyBorder="1" applyAlignment="1" applyProtection="1">
      <alignment horizontal="left" wrapText="1"/>
    </xf>
    <xf numFmtId="0" fontId="8" fillId="8" borderId="2" xfId="0" quotePrefix="1" applyFont="1" applyFill="1" applyBorder="1" applyAlignment="1" applyProtection="1">
      <alignment horizontal="left"/>
    </xf>
    <xf numFmtId="0" fontId="8" fillId="8" borderId="6" xfId="0" quotePrefix="1" applyFont="1" applyFill="1" applyBorder="1" applyAlignment="1" applyProtection="1">
      <alignment horizontal="left"/>
    </xf>
    <xf numFmtId="0" fontId="8" fillId="8" borderId="3" xfId="0" quotePrefix="1" applyFont="1" applyFill="1" applyBorder="1" applyAlignment="1" applyProtection="1">
      <alignment horizontal="left"/>
    </xf>
    <xf numFmtId="0" fontId="8" fillId="4" borderId="1" xfId="0" applyFont="1" applyFill="1" applyBorder="1" applyAlignment="1" applyProtection="1">
      <alignment horizontal="left"/>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49" fontId="8" fillId="8" borderId="2" xfId="0" applyNumberFormat="1" applyFont="1" applyFill="1" applyBorder="1" applyAlignment="1" applyProtection="1">
      <alignment horizontal="left" wrapText="1"/>
    </xf>
    <xf numFmtId="49" fontId="8" fillId="8" borderId="6" xfId="0" applyNumberFormat="1" applyFont="1" applyFill="1" applyBorder="1" applyAlignment="1" applyProtection="1">
      <alignment horizontal="left" wrapText="1"/>
    </xf>
    <xf numFmtId="49" fontId="8" fillId="8" borderId="3" xfId="0" applyNumberFormat="1"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cellXfs>
  <cellStyles count="5">
    <cellStyle name="Komma" xfId="1" builtinId="3"/>
    <cellStyle name="Link" xfId="2" builtinId="8"/>
    <cellStyle name="Normal" xfId="0" builtinId="0"/>
    <cellStyle name="Normal 12" xfId="3" xr:uid="{00000000-0005-0000-0000-000003000000}"/>
    <cellStyle name="Procent" xfId="4" builtinId="5"/>
  </cellStyles>
  <dxfs count="0"/>
  <tableStyles count="0" defaultTableStyle="TableStyleMedium2" defaultPivotStyle="PivotStyleLight16"/>
  <colors>
    <mruColors>
      <color rgb="FFF2DCDB"/>
      <color rgb="FFB6DDF3"/>
      <color rgb="FF212121"/>
      <color rgb="FF650816"/>
      <color rgb="FF4C4C4C"/>
      <color rgb="FFBFBFBF"/>
      <color rgb="FFD9D9D9"/>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externalLink" Target="externalLinks/externalLink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VAND/Sagsbehandling/&#216;R-statusark.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VAND/Skabeloner/&#216;konomiske%20rammer/2021/&#216;R%20Statusark/&#216;R-statusark_Udkast_2021.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VAND/Skabeloner/&#216;konomiske%20rammer/2022/&#216;R%20statusark/Kopi%20af%20&#216;R-statusark2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4-27"/>
      <sheetName val="ØR23-26"/>
      <sheetName val="ØR22-25"/>
      <sheetName val="ØR21-24"/>
      <sheetName val="ØR20-23"/>
      <sheetName val="ØR19-22"/>
      <sheetName val="ØR18"/>
      <sheetName val="ØR17-20"/>
      <sheetName val="Nøgletal"/>
      <sheetName val="Farvekode forklaring"/>
      <sheetName val="ØR25 - testramme"/>
    </sheetNames>
    <sheetDataSet>
      <sheetData sheetId="0"/>
      <sheetData sheetId="1"/>
      <sheetData sheetId="2"/>
      <sheetData sheetId="3"/>
      <sheetData sheetId="4"/>
      <sheetData sheetId="5"/>
      <sheetData sheetId="6"/>
      <sheetData sheetId="7"/>
      <sheetData sheetId="8"/>
      <sheetData sheetId="9">
        <row r="5">
          <cell r="C5">
            <v>1.0168999999999999</v>
          </cell>
        </row>
      </sheetData>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2-25"/>
      <sheetName val="ØR21-24"/>
      <sheetName val="ØR20-23"/>
      <sheetName val="ØR19-22"/>
      <sheetName val="ØR18"/>
      <sheetName val="ØR17-20"/>
      <sheetName val="Nøgletal"/>
      <sheetName val="Ark2"/>
      <sheetName val="Ark3"/>
    </sheetNames>
    <sheetDataSet>
      <sheetData sheetId="0"/>
      <sheetData sheetId="1"/>
      <sheetData sheetId="2"/>
      <sheetData sheetId="3"/>
      <sheetData sheetId="4"/>
      <sheetData sheetId="5"/>
      <sheetData sheetId="6"/>
      <sheetData sheetId="7">
        <row r="6">
          <cell r="C6">
            <v>1.0197000000000001</v>
          </cell>
        </row>
        <row r="7">
          <cell r="C7">
            <v>1.0122</v>
          </cell>
          <cell r="E7">
            <v>1.0132000000000001</v>
          </cell>
        </row>
      </sheetData>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3-26 "/>
      <sheetName val="ØR22-25"/>
      <sheetName val="ØR21-24"/>
      <sheetName val="ØR20-23"/>
      <sheetName val="ØR19-22"/>
      <sheetName val="ØR18"/>
      <sheetName val="ØR17-20"/>
      <sheetName val="Nøgletal"/>
      <sheetName val="Farvekode forklaring"/>
      <sheetName val="Ark3"/>
    </sheetNames>
    <sheetDataSet>
      <sheetData sheetId="0"/>
      <sheetData sheetId="1"/>
      <sheetData sheetId="2"/>
      <sheetData sheetId="3"/>
      <sheetData sheetId="4"/>
      <sheetData sheetId="5"/>
      <sheetData sheetId="6"/>
      <sheetData sheetId="7"/>
      <sheetData sheetId="8">
        <row r="5">
          <cell r="B5">
            <v>1.6899999999999998E-2</v>
          </cell>
        </row>
        <row r="6">
          <cell r="B6">
            <v>1.9699999999999999E-2</v>
          </cell>
        </row>
        <row r="7">
          <cell r="B7">
            <v>1.2200000000000001E-2</v>
          </cell>
          <cell r="D7">
            <v>1.32E-2</v>
          </cell>
        </row>
        <row r="8">
          <cell r="B8">
            <v>3.3E-3</v>
          </cell>
        </row>
      </sheetData>
      <sheetData sheetId="9"/>
      <sheetData sheetId="10"/>
    </sheetDataSet>
  </externalBook>
</externalLink>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dimension ref="A1:I51"/>
  <sheetViews>
    <sheetView showGridLines="0" tabSelected="1" view="pageLayout" zoomScaleNormal="100" workbookViewId="0"/>
  </sheetViews>
  <sheetFormatPr defaultColWidth="9.140625" defaultRowHeight="15" x14ac:dyDescent="0.25"/>
  <cols>
    <col min="1" max="1" width="9.140625" style="2"/>
    <col min="2" max="2" width="5.85546875" style="2" customWidth="1"/>
    <col min="3" max="4" width="9.140625" style="2"/>
    <col min="5" max="5" width="11.7109375" style="2" customWidth="1"/>
    <col min="6" max="6" width="11.5703125" style="2" customWidth="1"/>
    <col min="7" max="8" width="9.140625" style="2"/>
    <col min="9" max="9" width="12.140625" style="2" customWidth="1"/>
    <col min="10" max="16384" width="9.140625" style="2"/>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
      <c r="C3" s="1"/>
      <c r="D3" s="1"/>
      <c r="E3" s="1"/>
      <c r="F3" s="1"/>
      <c r="G3" s="1"/>
      <c r="H3" s="1"/>
      <c r="I3" s="1"/>
    </row>
    <row r="4" spans="1:9" ht="15" customHeight="1" x14ac:dyDescent="0.25">
      <c r="A4" s="1"/>
      <c r="B4" s="1"/>
      <c r="C4" s="1"/>
      <c r="D4" s="1"/>
      <c r="E4" s="1"/>
      <c r="F4" s="1"/>
      <c r="G4" s="1"/>
      <c r="H4" s="1"/>
      <c r="I4" s="1"/>
    </row>
    <row r="5" spans="1:9" x14ac:dyDescent="0.25">
      <c r="A5" s="1"/>
      <c r="B5" s="1"/>
      <c r="C5" s="1"/>
      <c r="D5" s="1"/>
      <c r="E5" s="1"/>
      <c r="F5" s="1"/>
      <c r="G5" s="1"/>
      <c r="H5" s="1"/>
      <c r="I5" s="1"/>
    </row>
    <row r="6" spans="1:9" ht="15" customHeight="1" x14ac:dyDescent="0.25">
      <c r="A6" s="1"/>
      <c r="B6" s="1"/>
      <c r="C6" s="3"/>
      <c r="D6" s="92" t="s">
        <v>4</v>
      </c>
      <c r="E6" s="92"/>
      <c r="F6" s="92"/>
      <c r="G6" s="92"/>
      <c r="H6" s="3"/>
      <c r="I6" s="1"/>
    </row>
    <row r="7" spans="1:9" ht="15" customHeight="1" x14ac:dyDescent="0.25">
      <c r="A7" s="1"/>
      <c r="B7" s="1"/>
      <c r="C7" s="3"/>
      <c r="D7" s="92"/>
      <c r="E7" s="92"/>
      <c r="F7" s="92"/>
      <c r="G7" s="92"/>
      <c r="H7" s="3"/>
      <c r="I7" s="1"/>
    </row>
    <row r="8" spans="1:9" ht="15.75" x14ac:dyDescent="0.25">
      <c r="A8" s="1"/>
      <c r="B8" s="1"/>
      <c r="C8" s="4"/>
      <c r="D8" s="94" t="s">
        <v>235</v>
      </c>
      <c r="E8" s="94"/>
      <c r="F8" s="94"/>
      <c r="G8" s="94"/>
      <c r="H8" s="4"/>
      <c r="I8" s="1"/>
    </row>
    <row r="9" spans="1:9" x14ac:dyDescent="0.25">
      <c r="A9" s="1"/>
      <c r="B9" s="1"/>
      <c r="C9" s="5"/>
      <c r="D9" s="5"/>
      <c r="E9" s="5"/>
      <c r="F9" s="5"/>
      <c r="G9" s="5"/>
      <c r="H9" s="5"/>
      <c r="I9" s="1"/>
    </row>
    <row r="10" spans="1:9" x14ac:dyDescent="0.25">
      <c r="A10" s="1"/>
      <c r="B10" s="5"/>
      <c r="C10" s="5"/>
      <c r="D10" s="5"/>
      <c r="E10" s="5"/>
      <c r="F10" s="5"/>
      <c r="G10" s="5"/>
      <c r="H10" s="5"/>
      <c r="I10" s="1"/>
    </row>
    <row r="11" spans="1:9" x14ac:dyDescent="0.25">
      <c r="A11" s="1"/>
      <c r="B11" s="5"/>
      <c r="C11" s="5"/>
      <c r="D11" s="93" t="s">
        <v>5</v>
      </c>
      <c r="E11" s="93"/>
      <c r="F11" s="93"/>
      <c r="G11" s="93"/>
      <c r="H11" s="5"/>
      <c r="I11" s="1"/>
    </row>
    <row r="12" spans="1:9" x14ac:dyDescent="0.25">
      <c r="A12" s="1"/>
      <c r="B12" s="1"/>
      <c r="C12" s="1"/>
      <c r="D12" s="1"/>
      <c r="E12" s="1"/>
      <c r="F12" s="1"/>
      <c r="G12" s="1"/>
      <c r="H12" s="1"/>
      <c r="I12" s="1"/>
    </row>
    <row r="13" spans="1:9" x14ac:dyDescent="0.25">
      <c r="A13" s="1"/>
      <c r="B13" s="1"/>
      <c r="C13" s="6" t="s">
        <v>6</v>
      </c>
      <c r="D13" s="89" t="s">
        <v>162</v>
      </c>
      <c r="E13" s="90"/>
      <c r="F13" s="90"/>
      <c r="G13" s="91"/>
      <c r="H13" s="1"/>
      <c r="I13" s="1"/>
    </row>
    <row r="14" spans="1:9" x14ac:dyDescent="0.25">
      <c r="A14" s="1"/>
      <c r="B14" s="1"/>
      <c r="C14" s="6" t="s">
        <v>14</v>
      </c>
      <c r="D14" s="89" t="s">
        <v>197</v>
      </c>
      <c r="E14" s="90"/>
      <c r="F14" s="90"/>
      <c r="G14" s="91"/>
      <c r="H14" s="1"/>
      <c r="I14" s="1"/>
    </row>
    <row r="15" spans="1:9" x14ac:dyDescent="0.25">
      <c r="A15" s="1"/>
      <c r="B15" s="1"/>
      <c r="C15" s="6" t="s">
        <v>30</v>
      </c>
      <c r="D15" s="89" t="s">
        <v>141</v>
      </c>
      <c r="E15" s="90"/>
      <c r="F15" s="90"/>
      <c r="G15" s="91"/>
      <c r="H15" s="1"/>
      <c r="I15" s="1"/>
    </row>
    <row r="16" spans="1:9" x14ac:dyDescent="0.25">
      <c r="A16" s="1"/>
      <c r="B16" s="1"/>
      <c r="C16" s="6" t="s">
        <v>31</v>
      </c>
      <c r="D16" s="89" t="s">
        <v>194</v>
      </c>
      <c r="E16" s="90"/>
      <c r="F16" s="90"/>
      <c r="G16" s="91"/>
      <c r="H16" s="1"/>
      <c r="I16" s="1"/>
    </row>
    <row r="17" spans="1:9" x14ac:dyDescent="0.25">
      <c r="A17" s="1"/>
      <c r="B17" s="1"/>
      <c r="C17" s="6" t="s">
        <v>102</v>
      </c>
      <c r="D17" s="89" t="s">
        <v>195</v>
      </c>
      <c r="E17" s="90"/>
      <c r="F17" s="90"/>
      <c r="G17" s="91"/>
      <c r="H17" s="1"/>
      <c r="I17" s="1"/>
    </row>
    <row r="18" spans="1:9" x14ac:dyDescent="0.25">
      <c r="A18" s="1"/>
      <c r="B18" s="1"/>
      <c r="C18" s="6" t="s">
        <v>86</v>
      </c>
      <c r="D18" s="95" t="s">
        <v>79</v>
      </c>
      <c r="E18" s="96"/>
      <c r="F18" s="96"/>
      <c r="G18" s="97"/>
      <c r="H18" s="1"/>
      <c r="I18" s="1"/>
    </row>
    <row r="19" spans="1:9" x14ac:dyDescent="0.25">
      <c r="A19" s="1"/>
      <c r="B19" s="1"/>
      <c r="C19" s="6" t="s">
        <v>87</v>
      </c>
      <c r="D19" s="95" t="s">
        <v>80</v>
      </c>
      <c r="E19" s="96"/>
      <c r="F19" s="96"/>
      <c r="G19" s="97"/>
      <c r="H19" s="1"/>
      <c r="I19" s="1"/>
    </row>
    <row r="20" spans="1:9" x14ac:dyDescent="0.25">
      <c r="A20" s="1"/>
      <c r="B20" s="1"/>
      <c r="C20" s="6" t="s">
        <v>7</v>
      </c>
      <c r="D20" s="95" t="s">
        <v>9</v>
      </c>
      <c r="E20" s="96"/>
      <c r="F20" s="96"/>
      <c r="G20" s="97"/>
      <c r="H20" s="1"/>
      <c r="I20" s="1"/>
    </row>
    <row r="21" spans="1:9" x14ac:dyDescent="0.25">
      <c r="A21" s="1"/>
      <c r="B21" s="1"/>
      <c r="C21" s="6" t="s">
        <v>88</v>
      </c>
      <c r="D21" s="86" t="s">
        <v>11</v>
      </c>
      <c r="E21" s="87"/>
      <c r="F21" s="87"/>
      <c r="G21" s="88"/>
      <c r="H21" s="1"/>
      <c r="I21" s="1"/>
    </row>
    <row r="22" spans="1:9" x14ac:dyDescent="0.25">
      <c r="A22" s="1"/>
      <c r="B22" s="1"/>
      <c r="C22" s="6" t="s">
        <v>73</v>
      </c>
      <c r="D22" s="80" t="s">
        <v>196</v>
      </c>
      <c r="E22" s="81"/>
      <c r="F22" s="81"/>
      <c r="G22" s="82"/>
      <c r="H22" s="1"/>
      <c r="I22" s="1"/>
    </row>
    <row r="23" spans="1:9" x14ac:dyDescent="0.25">
      <c r="A23" s="1"/>
      <c r="B23" s="1"/>
      <c r="C23" s="6" t="s">
        <v>8</v>
      </c>
      <c r="D23" s="80" t="s">
        <v>176</v>
      </c>
      <c r="E23" s="81"/>
      <c r="F23" s="81"/>
      <c r="G23" s="82"/>
      <c r="H23" s="1"/>
      <c r="I23" s="1"/>
    </row>
    <row r="24" spans="1:9" x14ac:dyDescent="0.25">
      <c r="A24" s="1"/>
      <c r="B24" s="1"/>
      <c r="C24" s="6" t="s">
        <v>172</v>
      </c>
      <c r="D24" s="80" t="s">
        <v>163</v>
      </c>
      <c r="E24" s="81"/>
      <c r="F24" s="81"/>
      <c r="G24" s="82"/>
      <c r="H24" s="1"/>
      <c r="I24" s="1"/>
    </row>
    <row r="25" spans="1:9" x14ac:dyDescent="0.25">
      <c r="A25" s="1"/>
      <c r="B25" s="1"/>
      <c r="C25" s="6" t="s">
        <v>173</v>
      </c>
      <c r="D25" s="80" t="s">
        <v>74</v>
      </c>
      <c r="E25" s="81"/>
      <c r="F25" s="81"/>
      <c r="G25" s="82"/>
      <c r="H25" s="1"/>
      <c r="I25" s="1"/>
    </row>
    <row r="26" spans="1:9" x14ac:dyDescent="0.25">
      <c r="A26" s="1"/>
      <c r="B26" s="1"/>
      <c r="C26" s="6" t="s">
        <v>174</v>
      </c>
      <c r="D26" s="80" t="s">
        <v>75</v>
      </c>
      <c r="E26" s="81"/>
      <c r="F26" s="81"/>
      <c r="G26" s="82"/>
      <c r="H26" s="1"/>
      <c r="I26" s="1"/>
    </row>
    <row r="27" spans="1:9" x14ac:dyDescent="0.25">
      <c r="A27" s="1"/>
      <c r="B27" s="1"/>
      <c r="C27" s="6" t="s">
        <v>89</v>
      </c>
      <c r="D27" s="80" t="s">
        <v>103</v>
      </c>
      <c r="E27" s="81"/>
      <c r="F27" s="81"/>
      <c r="G27" s="82"/>
      <c r="H27" s="1"/>
      <c r="I27" s="1"/>
    </row>
    <row r="28" spans="1:9" x14ac:dyDescent="0.25">
      <c r="A28" s="1"/>
      <c r="B28" s="1"/>
      <c r="C28" s="6" t="s">
        <v>83</v>
      </c>
      <c r="D28" s="80" t="s">
        <v>32</v>
      </c>
      <c r="E28" s="81"/>
      <c r="F28" s="81"/>
      <c r="G28" s="82"/>
      <c r="H28" s="1"/>
      <c r="I28" s="1"/>
    </row>
    <row r="29" spans="1:9" x14ac:dyDescent="0.25">
      <c r="A29" s="1"/>
      <c r="B29" s="1"/>
      <c r="C29" s="6" t="s">
        <v>175</v>
      </c>
      <c r="D29" s="83" t="s">
        <v>84</v>
      </c>
      <c r="E29" s="84"/>
      <c r="F29" s="84"/>
      <c r="G29" s="85"/>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row r="51" spans="1:9" x14ac:dyDescent="0.25">
      <c r="A51" s="44"/>
      <c r="B51" s="44"/>
      <c r="C51" s="44"/>
      <c r="D51" s="44"/>
      <c r="E51" s="44"/>
      <c r="F51" s="44"/>
      <c r="G51" s="44"/>
      <c r="H51" s="44"/>
      <c r="I51" s="44"/>
    </row>
  </sheetData>
  <sheetProtection algorithmName="SHA-512" hashValue="2alejCSdKjp+AQHimEIKdUzxuf6/3xzk7M2eZBaDrhjJVv50TB+gMOoOVoqm6PkvcYfhyEjHzo5xMVdHgr1wDQ==" saltValue="ki8R1LRODbj8Nkp7Vh+omQ==" spinCount="100000" sheet="1" objects="1" scenarios="1"/>
  <mergeCells count="20">
    <mergeCell ref="D14:G14"/>
    <mergeCell ref="D6:G7"/>
    <mergeCell ref="D22:G22"/>
    <mergeCell ref="D11:G11"/>
    <mergeCell ref="D8:G8"/>
    <mergeCell ref="D15:G15"/>
    <mergeCell ref="D16:G16"/>
    <mergeCell ref="D13:G13"/>
    <mergeCell ref="D17:G17"/>
    <mergeCell ref="D18:G18"/>
    <mergeCell ref="D19:G19"/>
    <mergeCell ref="D20:G20"/>
    <mergeCell ref="D28:G28"/>
    <mergeCell ref="D29:G29"/>
    <mergeCell ref="D21:G21"/>
    <mergeCell ref="D24:G24"/>
    <mergeCell ref="D25:G25"/>
    <mergeCell ref="D27:G27"/>
    <mergeCell ref="D26:G26"/>
    <mergeCell ref="D23:G23"/>
  </mergeCells>
  <hyperlinks>
    <hyperlink ref="D14:G14" location="'Fane 2.2. Økonomisk ramme 2025'!A1" display="Samlet økonomisk ramme for 2025" xr:uid="{00000000-0004-0000-0000-000000000000}"/>
    <hyperlink ref="D25:G25" location="'Fane 10.1. Varige tillæg'!A1" display="Varige tillæg" xr:uid="{00000000-0004-0000-0000-000001000000}"/>
    <hyperlink ref="D27:G27" location="'Fane 11. Tilknyttet virksomhed'!A1" display="Tilknyttet virksomhed" xr:uid="{00000000-0004-0000-0000-000002000000}"/>
    <hyperlink ref="D28:G28" location="'Fane 12. Bortfald'!A1" display="Bortfald" xr:uid="{00000000-0004-0000-0000-000003000000}"/>
    <hyperlink ref="D13:G13" location="'Fane 2.1. Økonomisk ramme 2024'!A1" display="Samlet økonomisk ramme for 2024" xr:uid="{00000000-0004-0000-0000-000004000000}"/>
    <hyperlink ref="D16:G16" location="'Fane 2.4. Økonomisk ramme 2027'!A1" display="Vejledende økonomisk ramme for 2027" xr:uid="{00000000-0004-0000-0000-000005000000}"/>
    <hyperlink ref="D15:G15" location="'Fane 2.3. Økonomisk ramme 2026'!A1" display="Vejledende økonomisk ramme for 2026" xr:uid="{00000000-0004-0000-0000-000006000000}"/>
    <hyperlink ref="D21:G21" location="'Fane 6. Ikke-påvirkelige omk.'!A1" display="Ikke-påvirkelige omkostninger" xr:uid="{00000000-0004-0000-0000-000007000000}"/>
    <hyperlink ref="D22:G22" location="'Fane 7. Kontrol af ØR2022'!A1" display="Kontrol af den økonomiske ramme for 2022" xr:uid="{00000000-0004-0000-0000-000008000000}"/>
    <hyperlink ref="D24:G24" location="'Fane 9. Anlægsprojekter (§ 19) '!A1" display="Anlægsprojekter (§ 19) " xr:uid="{00000000-0004-0000-0000-000009000000}"/>
    <hyperlink ref="D29:G29" location="'Fane 13. Nøgletal'!A1" display="Nøgletal" xr:uid="{00000000-0004-0000-0000-00000A000000}"/>
    <hyperlink ref="D17:G17" location="'Fane 3. Omkostninger i ØR2023'!A1" display="Omkostninger i ØR2023" xr:uid="{00000000-0004-0000-0000-00000B000000}"/>
    <hyperlink ref="D26:G26" location="'Fane 10.2. Engangstillæg'!A1" display="Engangstillæg" xr:uid="{00000000-0004-0000-0000-00000C000000}"/>
    <hyperlink ref="D19:G19" location="'Fane 4.2. Gen. krav - anlæg'!A1" display="Generelt effektiviseringskrav på anlæg" xr:uid="{00000000-0004-0000-0000-00000D000000}"/>
    <hyperlink ref="D18:G18" location="'Fane 4.1. Gen. krav - drift'!A1" display="Generelt effektiviseringskrav på drift" xr:uid="{00000000-0004-0000-0000-00000E000000}"/>
    <hyperlink ref="D20:G20" location="'Fane 5. Individuelt eff. krav'!A1" display="Individuelt effektiviseringskrav" xr:uid="{00000000-0004-0000-0000-00000F000000}"/>
    <hyperlink ref="D23:G23" location="'Fane 8. Skattesagen'!A1" display="Skattesagen" xr:uid="{00000000-0004-0000-0000-000010000000}"/>
  </hyperlinks>
  <pageMargins left="0.70866141732283472" right="0.70866141732283472" top="0.74803149606299213" bottom="0.74803149606299213"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5"/>
  <dimension ref="A1:F56"/>
  <sheetViews>
    <sheetView showGridLines="0" view="pageLayout" zoomScaleNormal="100" workbookViewId="0"/>
  </sheetViews>
  <sheetFormatPr defaultColWidth="9.140625" defaultRowHeight="15" x14ac:dyDescent="0.25"/>
  <cols>
    <col min="1" max="1" width="8.140625" style="2" customWidth="1"/>
    <col min="2" max="2" width="37.7109375" style="2" customWidth="1"/>
    <col min="3" max="3" width="24.85546875" style="2" customWidth="1"/>
    <col min="4" max="4" width="3.28515625" style="2" customWidth="1"/>
    <col min="5" max="5" width="7.85546875" style="2" customWidth="1"/>
    <col min="6" max="6" width="4" style="2" customWidth="1"/>
    <col min="7" max="16384" width="9.140625" style="2"/>
  </cols>
  <sheetData>
    <row r="1" spans="1:6" x14ac:dyDescent="0.25">
      <c r="A1" s="1"/>
      <c r="B1" s="1"/>
      <c r="C1" s="1"/>
      <c r="D1" s="1"/>
      <c r="E1" s="1"/>
      <c r="F1" s="1"/>
    </row>
    <row r="2" spans="1:6" x14ac:dyDescent="0.25">
      <c r="A2" s="1"/>
      <c r="B2" s="1"/>
      <c r="C2" s="1"/>
      <c r="D2" s="1"/>
      <c r="E2" s="1"/>
      <c r="F2" s="1"/>
    </row>
    <row r="3" spans="1:6" ht="15" customHeight="1" x14ac:dyDescent="0.25">
      <c r="A3" s="1"/>
      <c r="B3" s="98" t="s">
        <v>92</v>
      </c>
      <c r="C3" s="98"/>
      <c r="D3" s="98"/>
      <c r="E3" s="1"/>
      <c r="F3" s="1"/>
    </row>
    <row r="4" spans="1:6" ht="15" customHeight="1" x14ac:dyDescent="0.25">
      <c r="A4" s="1"/>
      <c r="B4" s="98"/>
      <c r="C4" s="98"/>
      <c r="D4" s="98"/>
      <c r="E4" s="1"/>
      <c r="F4" s="1"/>
    </row>
    <row r="5" spans="1:6" x14ac:dyDescent="0.25">
      <c r="A5" s="1"/>
      <c r="B5" s="1"/>
      <c r="C5" s="1"/>
      <c r="D5" s="1"/>
      <c r="E5" s="1"/>
      <c r="F5" s="1"/>
    </row>
    <row r="6" spans="1:6" x14ac:dyDescent="0.25">
      <c r="A6" s="1"/>
      <c r="B6" s="1"/>
      <c r="C6" s="1"/>
      <c r="D6" s="1"/>
      <c r="E6" s="1"/>
      <c r="F6" s="1"/>
    </row>
    <row r="7" spans="1:6" x14ac:dyDescent="0.25">
      <c r="A7" s="1"/>
      <c r="B7" s="1"/>
      <c r="C7" s="1"/>
      <c r="D7" s="1"/>
      <c r="E7" s="1"/>
      <c r="F7" s="1"/>
    </row>
    <row r="8" spans="1:6" x14ac:dyDescent="0.25">
      <c r="A8" s="1"/>
      <c r="B8" s="102" t="s">
        <v>226</v>
      </c>
      <c r="C8" s="103"/>
      <c r="D8" s="104"/>
      <c r="E8" s="1"/>
      <c r="F8" s="1"/>
    </row>
    <row r="9" spans="1:6" ht="15" customHeight="1" x14ac:dyDescent="0.25">
      <c r="A9" s="1"/>
      <c r="B9" s="32" t="s">
        <v>28</v>
      </c>
      <c r="C9" s="11" t="s">
        <v>212</v>
      </c>
      <c r="D9" s="11"/>
      <c r="E9" s="1"/>
      <c r="F9" s="1"/>
    </row>
    <row r="10" spans="1:6" ht="15" customHeight="1" x14ac:dyDescent="0.25">
      <c r="A10" s="1"/>
      <c r="B10" s="69" t="s">
        <v>243</v>
      </c>
      <c r="C10" s="9">
        <v>11634270</v>
      </c>
      <c r="D10" s="14" t="s">
        <v>3</v>
      </c>
      <c r="E10" s="1"/>
      <c r="F10" s="1"/>
    </row>
    <row r="11" spans="1:6" x14ac:dyDescent="0.25">
      <c r="A11" s="1"/>
      <c r="B11" s="69" t="s">
        <v>244</v>
      </c>
      <c r="C11" s="9">
        <v>107308</v>
      </c>
      <c r="D11" s="14" t="s">
        <v>3</v>
      </c>
      <c r="E11" s="1"/>
      <c r="F11" s="1"/>
    </row>
    <row r="12" spans="1:6" x14ac:dyDescent="0.25">
      <c r="A12" s="1"/>
      <c r="B12" s="69" t="s">
        <v>245</v>
      </c>
      <c r="C12" s="9">
        <v>41040</v>
      </c>
      <c r="D12" s="14" t="s">
        <v>3</v>
      </c>
      <c r="E12" s="1"/>
      <c r="F12" s="1"/>
    </row>
    <row r="13" spans="1:6" x14ac:dyDescent="0.25">
      <c r="A13" s="1"/>
      <c r="B13" s="69" t="s">
        <v>246</v>
      </c>
      <c r="C13" s="9">
        <v>714519</v>
      </c>
      <c r="D13" s="14" t="s">
        <v>3</v>
      </c>
      <c r="E13" s="1"/>
      <c r="F13" s="1"/>
    </row>
    <row r="14" spans="1:6" x14ac:dyDescent="0.25">
      <c r="A14" s="1"/>
      <c r="B14" s="69" t="s">
        <v>247</v>
      </c>
      <c r="C14" s="9">
        <v>4605</v>
      </c>
      <c r="D14" s="14" t="s">
        <v>3</v>
      </c>
      <c r="E14" s="1"/>
      <c r="F14" s="1"/>
    </row>
    <row r="15" spans="1:6" ht="26.25" x14ac:dyDescent="0.25">
      <c r="A15" s="1"/>
      <c r="B15" s="56" t="s">
        <v>248</v>
      </c>
      <c r="C15" s="9">
        <v>3051743</v>
      </c>
      <c r="D15" s="14" t="s">
        <v>3</v>
      </c>
      <c r="E15" s="1"/>
      <c r="F15" s="1"/>
    </row>
    <row r="16" spans="1:6" x14ac:dyDescent="0.25">
      <c r="A16" s="1"/>
      <c r="B16" s="69"/>
      <c r="C16" s="9"/>
      <c r="D16" s="14" t="s">
        <v>3</v>
      </c>
      <c r="E16" s="1"/>
      <c r="F16" s="1"/>
    </row>
    <row r="17" spans="1:6" x14ac:dyDescent="0.25">
      <c r="A17" s="1"/>
      <c r="B17" s="69"/>
      <c r="C17" s="9"/>
      <c r="D17" s="14" t="s">
        <v>3</v>
      </c>
      <c r="E17" s="1"/>
      <c r="F17" s="1"/>
    </row>
    <row r="18" spans="1:6" x14ac:dyDescent="0.25">
      <c r="A18" s="1"/>
      <c r="B18" s="69"/>
      <c r="C18" s="9"/>
      <c r="D18" s="14" t="s">
        <v>3</v>
      </c>
      <c r="E18" s="1"/>
      <c r="F18" s="1"/>
    </row>
    <row r="19" spans="1:6" x14ac:dyDescent="0.25">
      <c r="A19" s="1"/>
      <c r="B19" s="53" t="s">
        <v>213</v>
      </c>
      <c r="C19" s="12">
        <f>SUM(C10:C18)</f>
        <v>15553485</v>
      </c>
      <c r="D19" s="13" t="s">
        <v>3</v>
      </c>
      <c r="E19" s="1"/>
      <c r="F19" s="1"/>
    </row>
    <row r="20" spans="1:6" x14ac:dyDescent="0.25">
      <c r="A20" s="1"/>
      <c r="B20" s="53" t="s">
        <v>214</v>
      </c>
      <c r="C20" s="12">
        <f>C19*(1+'Fane 13. Nøgletal'!C16)^2</f>
        <v>18168471.2803104</v>
      </c>
      <c r="D20" s="13" t="s">
        <v>3</v>
      </c>
      <c r="E20" s="1"/>
      <c r="F20" s="1"/>
    </row>
    <row r="21" spans="1:6" x14ac:dyDescent="0.25">
      <c r="A21" s="1"/>
      <c r="B21" s="16"/>
      <c r="C21" s="15"/>
      <c r="D21" s="15"/>
      <c r="E21" s="1"/>
      <c r="F21" s="1"/>
    </row>
    <row r="22" spans="1:6" x14ac:dyDescent="0.25">
      <c r="A22" s="1"/>
      <c r="B22" s="16"/>
      <c r="C22" s="15"/>
      <c r="D22" s="15"/>
      <c r="E22" s="1"/>
      <c r="F22" s="1"/>
    </row>
    <row r="23" spans="1:6" x14ac:dyDescent="0.25">
      <c r="A23" s="1"/>
      <c r="B23" s="1"/>
      <c r="C23" s="1"/>
      <c r="D23" s="1"/>
      <c r="E23" s="1"/>
      <c r="F23" s="1"/>
    </row>
    <row r="24" spans="1:6" x14ac:dyDescent="0.25">
      <c r="A24" s="1"/>
      <c r="B24" s="1"/>
      <c r="C24" s="1"/>
      <c r="D24" s="1"/>
      <c r="E24" s="1"/>
      <c r="F24" s="1"/>
    </row>
    <row r="25" spans="1:6" x14ac:dyDescent="0.25">
      <c r="A25" s="1"/>
      <c r="B25" s="1"/>
      <c r="C25" s="1"/>
      <c r="D25" s="1"/>
      <c r="E25" s="1"/>
      <c r="F25" s="1"/>
    </row>
    <row r="26" spans="1:6" x14ac:dyDescent="0.25">
      <c r="A26" s="1"/>
      <c r="B26" s="1"/>
      <c r="C26" s="1"/>
      <c r="D26" s="1"/>
      <c r="E26" s="1"/>
      <c r="F26" s="1"/>
    </row>
    <row r="27" spans="1:6" x14ac:dyDescent="0.25">
      <c r="A27" s="1"/>
      <c r="B27" s="1"/>
      <c r="C27" s="1"/>
      <c r="D27" s="1"/>
      <c r="E27" s="1"/>
      <c r="F27" s="1"/>
    </row>
    <row r="28" spans="1:6" x14ac:dyDescent="0.25">
      <c r="A28" s="1"/>
      <c r="B28" s="1"/>
      <c r="C28" s="1"/>
      <c r="D28" s="1"/>
      <c r="E28" s="1"/>
      <c r="F28" s="1"/>
    </row>
    <row r="29" spans="1:6" x14ac:dyDescent="0.25">
      <c r="A29" s="1"/>
      <c r="B29" s="1"/>
      <c r="C29" s="1"/>
      <c r="D29" s="1"/>
      <c r="E29" s="1"/>
      <c r="F29" s="1"/>
    </row>
    <row r="30" spans="1:6" x14ac:dyDescent="0.25">
      <c r="A30" s="1"/>
      <c r="B30" s="1"/>
      <c r="C30" s="1"/>
      <c r="D30" s="1"/>
      <c r="E30" s="1"/>
      <c r="F30" s="1"/>
    </row>
    <row r="31" spans="1:6" x14ac:dyDescent="0.25">
      <c r="A31" s="1"/>
      <c r="B31" s="1"/>
      <c r="C31" s="1"/>
      <c r="D31" s="1"/>
      <c r="E31" s="1"/>
      <c r="F31" s="1"/>
    </row>
    <row r="32" spans="1:6" x14ac:dyDescent="0.25">
      <c r="A32" s="1"/>
      <c r="B32" s="1"/>
      <c r="C32" s="1"/>
      <c r="D32" s="1"/>
      <c r="E32" s="1"/>
      <c r="F32" s="1"/>
    </row>
    <row r="33" spans="1:6" x14ac:dyDescent="0.25">
      <c r="A33" s="1"/>
      <c r="B33" s="1"/>
      <c r="C33" s="1"/>
      <c r="D33" s="1"/>
      <c r="E33" s="1"/>
      <c r="F33" s="1"/>
    </row>
    <row r="34" spans="1:6" x14ac:dyDescent="0.25">
      <c r="A34" s="1"/>
      <c r="B34" s="1"/>
      <c r="C34" s="1"/>
      <c r="D34" s="1"/>
      <c r="E34" s="1"/>
      <c r="F34" s="1"/>
    </row>
    <row r="35" spans="1:6" x14ac:dyDescent="0.25">
      <c r="A35" s="1"/>
      <c r="B35" s="1"/>
      <c r="C35" s="1"/>
      <c r="D35" s="1"/>
      <c r="E35" s="1"/>
      <c r="F35" s="1"/>
    </row>
    <row r="36" spans="1:6" x14ac:dyDescent="0.25">
      <c r="A36" s="1"/>
      <c r="B36" s="1"/>
      <c r="C36" s="1"/>
      <c r="D36" s="1"/>
      <c r="E36" s="1"/>
      <c r="F36" s="1"/>
    </row>
    <row r="37" spans="1:6" x14ac:dyDescent="0.25">
      <c r="A37" s="1"/>
      <c r="B37" s="1"/>
      <c r="C37" s="1"/>
      <c r="D37" s="1"/>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1"/>
      <c r="B47" s="1"/>
      <c r="C47" s="1"/>
      <c r="D47" s="1"/>
      <c r="E47" s="1"/>
      <c r="F47" s="1"/>
    </row>
    <row r="48" spans="1:6" x14ac:dyDescent="0.25">
      <c r="A48" s="1"/>
      <c r="B48" s="1"/>
      <c r="C48" s="1"/>
      <c r="D48" s="1"/>
      <c r="E48" s="1"/>
      <c r="F48" s="1"/>
    </row>
    <row r="49" spans="1:6" x14ac:dyDescent="0.25">
      <c r="A49" s="1"/>
      <c r="B49" s="1"/>
      <c r="C49" s="1"/>
      <c r="D49" s="1"/>
      <c r="E49" s="1"/>
      <c r="F49" s="1"/>
    </row>
    <row r="50" spans="1:6" x14ac:dyDescent="0.25">
      <c r="A50" s="44"/>
      <c r="B50" s="44"/>
      <c r="C50" s="44"/>
      <c r="D50" s="44"/>
      <c r="E50" s="44"/>
      <c r="F50" s="44"/>
    </row>
    <row r="51" spans="1:6" x14ac:dyDescent="0.25">
      <c r="A51" s="44"/>
      <c r="B51" s="44"/>
      <c r="C51" s="44"/>
      <c r="D51" s="44"/>
      <c r="E51" s="44"/>
      <c r="F51" s="44"/>
    </row>
    <row r="52" spans="1:6" x14ac:dyDescent="0.25">
      <c r="A52" s="44"/>
      <c r="B52" s="44"/>
      <c r="C52" s="44"/>
      <c r="D52" s="44"/>
      <c r="E52" s="44"/>
      <c r="F52" s="44"/>
    </row>
    <row r="53" spans="1:6" x14ac:dyDescent="0.25">
      <c r="A53" s="44"/>
      <c r="B53" s="44"/>
      <c r="C53" s="44"/>
      <c r="D53" s="44"/>
      <c r="E53" s="44"/>
      <c r="F53" s="44"/>
    </row>
    <row r="54" spans="1:6" x14ac:dyDescent="0.25">
      <c r="A54" s="44"/>
      <c r="B54" s="44"/>
      <c r="C54" s="44"/>
      <c r="D54" s="44"/>
      <c r="E54" s="44"/>
      <c r="F54" s="44"/>
    </row>
    <row r="55" spans="1:6" x14ac:dyDescent="0.25">
      <c r="A55" s="44"/>
      <c r="B55" s="44"/>
      <c r="C55" s="44"/>
      <c r="D55" s="44"/>
      <c r="E55" s="44"/>
      <c r="F55" s="44"/>
    </row>
    <row r="56" spans="1:6" x14ac:dyDescent="0.25">
      <c r="A56" s="44"/>
      <c r="B56" s="44"/>
      <c r="C56" s="44"/>
      <c r="D56" s="44"/>
      <c r="E56" s="44"/>
      <c r="F56" s="44"/>
    </row>
  </sheetData>
  <sheetProtection algorithmName="SHA-512" hashValue="23iJfgqoTDjkgkTCXjWywnTSue2xQXlYHjOZgmJiSjJue+zRWNGBzC2v4rj6BYVLVKNuY9sJo0dG33pU5V7vfA==" saltValue="2bVc2sHrvwhQK+VarCCkWQ==" spinCount="100000" sheet="1" objects="1" scenarios="1"/>
  <mergeCells count="2">
    <mergeCell ref="B3:D4"/>
    <mergeCell ref="B8:D8"/>
  </mergeCells>
  <pageMargins left="0.70866141732283461" right="0.70866141732283461" top="0.74803149606299213" bottom="0.74803149606299213" header="0.31496062992125984" footer="0.31496062992125984"/>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A185E8-6003-4D13-A7DC-62A8F52F9C1E}">
  <dimension ref="A1:G45"/>
  <sheetViews>
    <sheetView showGridLines="0" view="pageLayout" zoomScaleNormal="100" workbookViewId="0"/>
  </sheetViews>
  <sheetFormatPr defaultColWidth="9.140625" defaultRowHeight="15" x14ac:dyDescent="0.25"/>
  <cols>
    <col min="1" max="1" width="3.5703125" style="2" customWidth="1"/>
    <col min="2" max="3" width="9.140625" style="2"/>
    <col min="4" max="4" width="45.85546875" style="2" customWidth="1"/>
    <col min="5" max="5" width="12.28515625" style="2" bestFit="1" customWidth="1"/>
    <col min="6" max="6" width="3.28515625" style="2" customWidth="1"/>
    <col min="7" max="7" width="2.425781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01" t="s">
        <v>227</v>
      </c>
      <c r="C3" s="101"/>
      <c r="D3" s="101"/>
      <c r="E3" s="101"/>
      <c r="F3" s="101"/>
      <c r="G3" s="1"/>
    </row>
    <row r="4" spans="1:7" ht="15" customHeight="1" x14ac:dyDescent="0.25">
      <c r="A4" s="1"/>
      <c r="B4" s="101"/>
      <c r="C4" s="101"/>
      <c r="D4" s="101"/>
      <c r="E4" s="101"/>
      <c r="F4" s="101"/>
      <c r="G4" s="1"/>
    </row>
    <row r="5" spans="1:7" ht="15" customHeight="1" x14ac:dyDescent="0.25">
      <c r="A5" s="1"/>
      <c r="B5" s="65"/>
      <c r="C5" s="65"/>
      <c r="D5" s="65"/>
      <c r="E5" s="65"/>
      <c r="F5" s="65"/>
      <c r="G5" s="1"/>
    </row>
    <row r="6" spans="1:7" ht="15" customHeight="1" x14ac:dyDescent="0.25">
      <c r="A6" s="1"/>
      <c r="B6" s="1"/>
      <c r="C6" s="60"/>
      <c r="D6" s="61"/>
      <c r="E6" s="65"/>
      <c r="F6" s="65"/>
      <c r="G6" s="1"/>
    </row>
    <row r="7" spans="1:7" x14ac:dyDescent="0.25">
      <c r="A7" s="1"/>
      <c r="B7" s="1"/>
      <c r="C7" s="1"/>
      <c r="D7" s="1"/>
      <c r="E7" s="62"/>
      <c r="F7" s="1"/>
      <c r="G7" s="1"/>
    </row>
    <row r="8" spans="1:7" x14ac:dyDescent="0.25">
      <c r="A8" s="1"/>
      <c r="B8" s="102" t="s">
        <v>249</v>
      </c>
      <c r="C8" s="103"/>
      <c r="D8" s="103"/>
      <c r="E8" s="103"/>
      <c r="F8" s="104"/>
      <c r="G8" s="1"/>
    </row>
    <row r="9" spans="1:7" x14ac:dyDescent="0.25">
      <c r="A9" s="1"/>
      <c r="B9" s="105" t="s">
        <v>250</v>
      </c>
      <c r="C9" s="106"/>
      <c r="D9" s="107"/>
      <c r="E9" s="28">
        <v>-2291947</v>
      </c>
      <c r="F9" s="14" t="s">
        <v>3</v>
      </c>
      <c r="G9" s="1"/>
    </row>
    <row r="10" spans="1:7" x14ac:dyDescent="0.25">
      <c r="A10" s="1"/>
      <c r="B10" s="53"/>
      <c r="C10" s="54"/>
      <c r="D10" s="54"/>
      <c r="E10" s="54"/>
      <c r="F10" s="19"/>
      <c r="G10" s="1"/>
    </row>
    <row r="11" spans="1:7" ht="53.25" customHeight="1" x14ac:dyDescent="0.25">
      <c r="A11" s="1"/>
      <c r="B11" s="120" t="s">
        <v>251</v>
      </c>
      <c r="C11" s="121"/>
      <c r="D11" s="121"/>
      <c r="E11" s="121"/>
      <c r="F11" s="122"/>
      <c r="G11" s="1"/>
    </row>
    <row r="12" spans="1:7" x14ac:dyDescent="0.25">
      <c r="A12" s="1"/>
      <c r="B12" s="1"/>
      <c r="C12" s="1"/>
      <c r="D12" s="1"/>
      <c r="E12" s="1"/>
      <c r="F12" s="1"/>
      <c r="G12" s="1"/>
    </row>
    <row r="13" spans="1:7" x14ac:dyDescent="0.25">
      <c r="A13" s="1"/>
      <c r="B13" s="102" t="s">
        <v>140</v>
      </c>
      <c r="C13" s="103"/>
      <c r="D13" s="103"/>
      <c r="E13" s="103"/>
      <c r="F13" s="104"/>
      <c r="G13" s="1"/>
    </row>
    <row r="14" spans="1:7" x14ac:dyDescent="0.25">
      <c r="A14" s="1"/>
      <c r="B14" s="105" t="s">
        <v>252</v>
      </c>
      <c r="C14" s="106"/>
      <c r="D14" s="107"/>
      <c r="E14" s="9">
        <v>-1145974</v>
      </c>
      <c r="F14" s="14" t="s">
        <v>3</v>
      </c>
      <c r="G14" s="1"/>
    </row>
    <row r="15" spans="1:7" x14ac:dyDescent="0.25">
      <c r="A15" s="1"/>
      <c r="B15" s="105" t="s">
        <v>253</v>
      </c>
      <c r="C15" s="106"/>
      <c r="D15" s="107"/>
      <c r="E15" s="9">
        <v>-1145974</v>
      </c>
      <c r="F15" s="14" t="s">
        <v>3</v>
      </c>
      <c r="G15" s="1"/>
    </row>
    <row r="16" spans="1:7" x14ac:dyDescent="0.25">
      <c r="A16" s="1"/>
      <c r="B16" s="53"/>
      <c r="C16" s="54"/>
      <c r="D16" s="54"/>
      <c r="E16" s="54"/>
      <c r="F16" s="19"/>
      <c r="G16" s="1"/>
    </row>
    <row r="17" spans="1:7" ht="32.25" customHeight="1" x14ac:dyDescent="0.25">
      <c r="A17" s="1"/>
      <c r="B17" s="120" t="s">
        <v>254</v>
      </c>
      <c r="C17" s="121"/>
      <c r="D17" s="121"/>
      <c r="E17" s="121"/>
      <c r="F17" s="122"/>
      <c r="G17" s="1"/>
    </row>
    <row r="18" spans="1:7" x14ac:dyDescent="0.25">
      <c r="A18" s="1"/>
      <c r="B18" s="1"/>
      <c r="C18" s="1"/>
      <c r="D18" s="1"/>
      <c r="E18" s="1"/>
      <c r="F18" s="1"/>
      <c r="G18" s="1"/>
    </row>
    <row r="19" spans="1:7" x14ac:dyDescent="0.25">
      <c r="A19" s="1"/>
      <c r="B19" s="70" t="s">
        <v>255</v>
      </c>
      <c r="C19" s="71"/>
      <c r="D19" s="71"/>
      <c r="E19" s="71"/>
      <c r="F19" s="72"/>
      <c r="G19" s="1"/>
    </row>
    <row r="20" spans="1:7" x14ac:dyDescent="0.25">
      <c r="A20" s="1"/>
      <c r="B20" s="66" t="s">
        <v>256</v>
      </c>
      <c r="C20" s="67"/>
      <c r="D20" s="68"/>
      <c r="E20" s="9">
        <v>21757753</v>
      </c>
      <c r="F20" s="14" t="s">
        <v>3</v>
      </c>
      <c r="G20" s="1"/>
    </row>
    <row r="21" spans="1:7" x14ac:dyDescent="0.25">
      <c r="A21" s="1"/>
      <c r="B21" s="66" t="s">
        <v>257</v>
      </c>
      <c r="C21" s="67"/>
      <c r="D21" s="68"/>
      <c r="E21" s="9">
        <v>24055409</v>
      </c>
      <c r="F21" s="14" t="s">
        <v>3</v>
      </c>
      <c r="G21" s="1"/>
    </row>
    <row r="22" spans="1:7" x14ac:dyDescent="0.25">
      <c r="A22" s="1"/>
      <c r="B22" s="66" t="s">
        <v>29</v>
      </c>
      <c r="C22" s="67"/>
      <c r="D22" s="68"/>
      <c r="E22" s="9">
        <v>0</v>
      </c>
      <c r="F22" s="14" t="s">
        <v>3</v>
      </c>
      <c r="G22" s="1"/>
    </row>
    <row r="23" spans="1:7" x14ac:dyDescent="0.25">
      <c r="A23" s="1"/>
      <c r="B23" s="74" t="s">
        <v>258</v>
      </c>
      <c r="C23" s="75"/>
      <c r="D23" s="76"/>
      <c r="E23" s="10">
        <f>E20-(E21-E22)</f>
        <v>-2297656</v>
      </c>
      <c r="F23" s="17" t="s">
        <v>3</v>
      </c>
      <c r="G23" s="1"/>
    </row>
    <row r="24" spans="1:7" x14ac:dyDescent="0.25">
      <c r="A24" s="1"/>
      <c r="B24" s="53"/>
      <c r="C24" s="54"/>
      <c r="D24" s="54"/>
      <c r="E24" s="54"/>
      <c r="F24" s="19"/>
      <c r="G24" s="1"/>
    </row>
    <row r="25" spans="1:7" x14ac:dyDescent="0.25">
      <c r="A25" s="1"/>
      <c r="B25" s="1"/>
      <c r="C25" s="1"/>
      <c r="D25" s="1"/>
      <c r="E25" s="1"/>
      <c r="F25" s="1"/>
      <c r="G25" s="1"/>
    </row>
    <row r="26" spans="1:7" x14ac:dyDescent="0.25">
      <c r="A26" s="1"/>
      <c r="B26" s="102" t="s">
        <v>259</v>
      </c>
      <c r="C26" s="103"/>
      <c r="D26" s="103"/>
      <c r="E26" s="103"/>
      <c r="F26" s="104"/>
      <c r="G26" s="1"/>
    </row>
    <row r="27" spans="1:7" x14ac:dyDescent="0.25">
      <c r="A27" s="1"/>
      <c r="B27" s="130" t="s">
        <v>260</v>
      </c>
      <c r="C27" s="131"/>
      <c r="D27" s="132"/>
      <c r="E27" s="63">
        <f>IF(AND(E15&lt;0,E23&gt;0,ABS(SUM(E14:E15))&lt;E23),ABS(E14),IF(AND(E15&lt;0,E23&gt;0,ABS(SUM(E14:E15))&gt;E23),SUM(E14,E23),0))</f>
        <v>0</v>
      </c>
      <c r="F27" s="17" t="s">
        <v>3</v>
      </c>
      <c r="G27" s="1"/>
    </row>
    <row r="28" spans="1:7" x14ac:dyDescent="0.25">
      <c r="A28" s="1"/>
      <c r="B28" s="102"/>
      <c r="C28" s="103"/>
      <c r="D28" s="103"/>
      <c r="E28" s="103"/>
      <c r="F28" s="104"/>
      <c r="G28" s="1"/>
    </row>
    <row r="29" spans="1:7" x14ac:dyDescent="0.25">
      <c r="A29" s="1"/>
      <c r="B29" s="1"/>
      <c r="C29" s="1"/>
      <c r="D29" s="1"/>
      <c r="E29" s="1"/>
      <c r="F29" s="1"/>
      <c r="G29" s="1"/>
    </row>
    <row r="30" spans="1:7" x14ac:dyDescent="0.25">
      <c r="A30" s="1"/>
      <c r="B30" s="102" t="s">
        <v>261</v>
      </c>
      <c r="C30" s="103"/>
      <c r="D30" s="103"/>
      <c r="E30" s="103"/>
      <c r="F30" s="104"/>
      <c r="G30" s="1"/>
    </row>
    <row r="31" spans="1:7" x14ac:dyDescent="0.25">
      <c r="A31" s="1"/>
      <c r="B31" s="123" t="s">
        <v>117</v>
      </c>
      <c r="C31" s="124"/>
      <c r="D31" s="125"/>
      <c r="E31" s="64">
        <f>IF(AND(E9&gt;0,(E9+E23)&gt;0),0,IF(AND(E9&gt;0,(E9+E23)&lt;0),(E9+E23),IF(AND(E9&lt;0,E23&lt;0),E23,0)))</f>
        <v>-2297656</v>
      </c>
      <c r="F31" s="14" t="s">
        <v>3</v>
      </c>
      <c r="G31" s="1"/>
    </row>
    <row r="32" spans="1:7" x14ac:dyDescent="0.25">
      <c r="A32" s="1"/>
      <c r="B32" s="123" t="s">
        <v>85</v>
      </c>
      <c r="C32" s="124"/>
      <c r="D32" s="125"/>
      <c r="E32" s="9">
        <v>2</v>
      </c>
      <c r="F32" s="14" t="s">
        <v>18</v>
      </c>
      <c r="G32" s="1"/>
    </row>
    <row r="33" spans="1:7" x14ac:dyDescent="0.25">
      <c r="A33" s="1"/>
      <c r="B33" s="126" t="s">
        <v>116</v>
      </c>
      <c r="C33" s="126"/>
      <c r="D33" s="126"/>
      <c r="E33" s="63">
        <f>E31/E32</f>
        <v>-1148828</v>
      </c>
      <c r="F33" s="17" t="s">
        <v>3</v>
      </c>
      <c r="G33" s="1"/>
    </row>
    <row r="34" spans="1:7" x14ac:dyDescent="0.25">
      <c r="A34" s="1"/>
      <c r="B34" s="127"/>
      <c r="C34" s="128"/>
      <c r="D34" s="128"/>
      <c r="E34" s="128"/>
      <c r="F34" s="129"/>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sheetData>
  <sheetProtection algorithmName="SHA-512" hashValue="P/Y/vlD5fR2yG+uT6Zc7q/BX5f7KHlDDh3r4or9mVZzXe26nUpxoKg0txSeDD00AvMT8FqQxCsotqlSlnhcQSA==" saltValue="ogLymYwWHyf8ixn+/6I9Rg==" spinCount="100000" sheet="1" objects="1" scenarios="1"/>
  <mergeCells count="16">
    <mergeCell ref="B31:D31"/>
    <mergeCell ref="B32:D32"/>
    <mergeCell ref="B33:D33"/>
    <mergeCell ref="B34:F34"/>
    <mergeCell ref="B15:D15"/>
    <mergeCell ref="B17:F17"/>
    <mergeCell ref="B26:F26"/>
    <mergeCell ref="B27:D27"/>
    <mergeCell ref="B28:F28"/>
    <mergeCell ref="B30:F30"/>
    <mergeCell ref="B14:D14"/>
    <mergeCell ref="B3:F4"/>
    <mergeCell ref="B8:F8"/>
    <mergeCell ref="B9:D9"/>
    <mergeCell ref="B11:F11"/>
    <mergeCell ref="B13:F13"/>
  </mergeCells>
  <pageMargins left="0.79166666666666663"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13"/>
  <dimension ref="A1:I50"/>
  <sheetViews>
    <sheetView view="pageLayout" zoomScaleNormal="100" workbookViewId="0"/>
  </sheetViews>
  <sheetFormatPr defaultColWidth="9.140625" defaultRowHeight="15" x14ac:dyDescent="0.25"/>
  <cols>
    <col min="1" max="1" width="4.7109375" style="34" customWidth="1"/>
    <col min="2" max="2" width="22.5703125" style="34" customWidth="1"/>
    <col min="3" max="3" width="8.28515625" style="34" customWidth="1"/>
    <col min="4" max="6" width="10.7109375" style="34" customWidth="1"/>
    <col min="7" max="7" width="11.140625" style="34" customWidth="1"/>
    <col min="8" max="8" width="3.28515625" style="34" customWidth="1"/>
    <col min="9" max="9" width="4.85546875" style="34" customWidth="1"/>
    <col min="10" max="16384" width="9.140625" style="34"/>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98" t="s">
        <v>183</v>
      </c>
      <c r="C3" s="98"/>
      <c r="D3" s="98"/>
      <c r="E3" s="98"/>
      <c r="F3" s="98"/>
      <c r="G3" s="98"/>
      <c r="H3" s="98"/>
      <c r="I3" s="1"/>
    </row>
    <row r="4" spans="1:9" ht="15" customHeight="1" x14ac:dyDescent="0.25">
      <c r="A4" s="1"/>
      <c r="B4" s="98"/>
      <c r="C4" s="98"/>
      <c r="D4" s="98"/>
      <c r="E4" s="98"/>
      <c r="F4" s="98"/>
      <c r="G4" s="98"/>
      <c r="H4" s="98"/>
      <c r="I4" s="1"/>
    </row>
    <row r="5" spans="1:9" x14ac:dyDescent="0.25">
      <c r="A5" s="1"/>
      <c r="B5" s="1"/>
      <c r="C5" s="1"/>
      <c r="D5" s="1"/>
      <c r="E5" s="1"/>
      <c r="F5" s="1"/>
      <c r="G5" s="1"/>
      <c r="H5" s="1"/>
      <c r="I5" s="1"/>
    </row>
    <row r="6" spans="1:9" x14ac:dyDescent="0.25">
      <c r="A6" s="1"/>
      <c r="B6" s="1"/>
      <c r="C6" s="1"/>
      <c r="D6" s="1"/>
      <c r="E6" s="1"/>
      <c r="F6" s="1"/>
      <c r="G6" s="1"/>
      <c r="H6" s="1"/>
      <c r="I6" s="1"/>
    </row>
    <row r="7" spans="1:9" x14ac:dyDescent="0.25">
      <c r="A7" s="1"/>
      <c r="B7" s="1"/>
      <c r="C7" s="1"/>
      <c r="D7" s="1"/>
      <c r="E7" s="1"/>
      <c r="F7" s="1"/>
      <c r="G7" s="1"/>
      <c r="H7" s="1"/>
      <c r="I7" s="1"/>
    </row>
    <row r="8" spans="1:9" x14ac:dyDescent="0.25">
      <c r="A8" s="1"/>
      <c r="B8" s="102" t="s">
        <v>184</v>
      </c>
      <c r="C8" s="103"/>
      <c r="D8" s="103"/>
      <c r="E8" s="103"/>
      <c r="F8" s="103"/>
      <c r="G8" s="103"/>
      <c r="H8" s="104"/>
      <c r="I8" s="1"/>
    </row>
    <row r="9" spans="1:9" ht="15" customHeight="1" x14ac:dyDescent="0.25">
      <c r="A9" s="1"/>
      <c r="B9" s="133" t="s">
        <v>234</v>
      </c>
      <c r="C9" s="134"/>
      <c r="D9" s="134"/>
      <c r="E9" s="134"/>
      <c r="F9" s="134"/>
      <c r="G9" s="134"/>
      <c r="H9" s="135"/>
      <c r="I9" s="1"/>
    </row>
    <row r="10" spans="1:9" x14ac:dyDescent="0.25">
      <c r="A10" s="1"/>
      <c r="B10" s="136" t="s">
        <v>185</v>
      </c>
      <c r="C10" s="137"/>
      <c r="D10" s="137"/>
      <c r="E10" s="137"/>
      <c r="F10" s="138"/>
      <c r="G10" s="45"/>
      <c r="H10" s="9" t="s">
        <v>3</v>
      </c>
      <c r="I10" s="1"/>
    </row>
    <row r="11" spans="1:9" x14ac:dyDescent="0.25">
      <c r="A11" s="1"/>
      <c r="B11" s="136" t="s">
        <v>186</v>
      </c>
      <c r="C11" s="137"/>
      <c r="D11" s="137"/>
      <c r="E11" s="137"/>
      <c r="F11" s="138"/>
      <c r="G11" s="45"/>
      <c r="H11" s="9" t="s">
        <v>3</v>
      </c>
      <c r="I11" s="1"/>
    </row>
    <row r="12" spans="1:9" x14ac:dyDescent="0.25">
      <c r="A12" s="1"/>
      <c r="B12" s="136" t="s">
        <v>187</v>
      </c>
      <c r="C12" s="137"/>
      <c r="D12" s="137"/>
      <c r="E12" s="137"/>
      <c r="F12" s="138"/>
      <c r="G12" s="9"/>
      <c r="H12" s="9" t="s">
        <v>3</v>
      </c>
      <c r="I12" s="1"/>
    </row>
    <row r="13" spans="1:9" x14ac:dyDescent="0.25">
      <c r="A13" s="1"/>
      <c r="B13" s="136" t="s">
        <v>188</v>
      </c>
      <c r="C13" s="137"/>
      <c r="D13" s="137"/>
      <c r="E13" s="137"/>
      <c r="F13" s="138"/>
      <c r="G13" s="9"/>
      <c r="H13" s="9" t="s">
        <v>3</v>
      </c>
      <c r="I13" s="1"/>
    </row>
    <row r="14" spans="1:9" x14ac:dyDescent="0.25">
      <c r="A14" s="1"/>
      <c r="B14" s="136" t="s">
        <v>189</v>
      </c>
      <c r="C14" s="137"/>
      <c r="D14" s="137"/>
      <c r="E14" s="137"/>
      <c r="F14" s="138"/>
      <c r="G14" s="9"/>
      <c r="H14" s="9" t="s">
        <v>3</v>
      </c>
      <c r="I14" s="1"/>
    </row>
    <row r="15" spans="1:9" x14ac:dyDescent="0.25">
      <c r="A15" s="1"/>
      <c r="B15" s="136" t="s">
        <v>190</v>
      </c>
      <c r="C15" s="137"/>
      <c r="D15" s="137"/>
      <c r="E15" s="137"/>
      <c r="F15" s="138"/>
      <c r="G15" s="9"/>
      <c r="H15" s="9" t="s">
        <v>3</v>
      </c>
      <c r="I15" s="1"/>
    </row>
    <row r="16" spans="1:9" x14ac:dyDescent="0.25">
      <c r="A16" s="1"/>
      <c r="B16" s="136" t="s">
        <v>191</v>
      </c>
      <c r="C16" s="137"/>
      <c r="D16" s="137"/>
      <c r="E16" s="137"/>
      <c r="F16" s="138"/>
      <c r="G16" s="9"/>
      <c r="H16" s="9" t="s">
        <v>3</v>
      </c>
      <c r="I16" s="1"/>
    </row>
    <row r="17" spans="1:9" x14ac:dyDescent="0.25">
      <c r="A17" s="1"/>
      <c r="B17" s="136" t="s">
        <v>192</v>
      </c>
      <c r="C17" s="137"/>
      <c r="D17" s="137"/>
      <c r="E17" s="137"/>
      <c r="F17" s="138"/>
      <c r="G17" s="9"/>
      <c r="H17" s="9" t="s">
        <v>3</v>
      </c>
      <c r="I17" s="1"/>
    </row>
    <row r="18" spans="1:9" x14ac:dyDescent="0.25">
      <c r="A18" s="1"/>
      <c r="B18" s="102" t="s">
        <v>193</v>
      </c>
      <c r="C18" s="103"/>
      <c r="D18" s="103"/>
      <c r="E18" s="103"/>
      <c r="F18" s="104"/>
      <c r="G18" s="12">
        <f>SUM(G10:G17)</f>
        <v>0</v>
      </c>
      <c r="H18" s="13" t="s">
        <v>3</v>
      </c>
      <c r="I18" s="1"/>
    </row>
    <row r="19" spans="1:9" x14ac:dyDescent="0.25">
      <c r="A19" s="1"/>
      <c r="B19" s="1"/>
      <c r="C19" s="1"/>
      <c r="D19" s="1"/>
      <c r="E19" s="1"/>
      <c r="F19" s="1"/>
      <c r="G19" s="1"/>
      <c r="H19" s="1"/>
      <c r="I19" s="1"/>
    </row>
    <row r="20" spans="1:9" x14ac:dyDescent="0.25">
      <c r="A20" s="1"/>
      <c r="B20" s="1"/>
      <c r="C20" s="1"/>
      <c r="D20" s="1"/>
      <c r="E20" s="1"/>
      <c r="F20" s="1"/>
      <c r="G20" s="1"/>
      <c r="H20" s="1"/>
      <c r="I20" s="1"/>
    </row>
    <row r="21" spans="1:9" x14ac:dyDescent="0.25">
      <c r="A21" s="1"/>
      <c r="B21" s="1"/>
      <c r="C21" s="1"/>
      <c r="D21" s="1"/>
      <c r="E21" s="1"/>
      <c r="F21" s="1"/>
      <c r="G21" s="1"/>
      <c r="H21" s="1"/>
      <c r="I21" s="1"/>
    </row>
    <row r="22" spans="1:9" x14ac:dyDescent="0.25">
      <c r="A22" s="1"/>
      <c r="B22" s="1"/>
      <c r="C22" s="1"/>
      <c r="D22" s="1"/>
      <c r="E22" s="1"/>
      <c r="F22" s="1"/>
      <c r="G22" s="1"/>
      <c r="H22" s="1"/>
      <c r="I22" s="1"/>
    </row>
    <row r="23" spans="1:9" x14ac:dyDescent="0.25">
      <c r="A23" s="1"/>
      <c r="B23" s="1"/>
      <c r="C23" s="1"/>
      <c r="D23" s="1"/>
      <c r="E23" s="1"/>
      <c r="F23" s="1"/>
      <c r="G23" s="1"/>
      <c r="H23" s="1"/>
      <c r="I23" s="1"/>
    </row>
    <row r="24" spans="1:9" x14ac:dyDescent="0.25">
      <c r="A24" s="1"/>
      <c r="B24" s="1"/>
      <c r="C24" s="1"/>
      <c r="D24" s="1"/>
      <c r="E24" s="1"/>
      <c r="F24" s="1"/>
      <c r="G24" s="1"/>
      <c r="H24" s="1"/>
      <c r="I24" s="1"/>
    </row>
    <row r="25" spans="1:9" x14ac:dyDescent="0.25">
      <c r="A25" s="1"/>
      <c r="B25" s="1"/>
      <c r="C25" s="1"/>
      <c r="D25" s="1"/>
      <c r="E25" s="1"/>
      <c r="F25" s="1"/>
      <c r="G25" s="1"/>
      <c r="H25" s="1"/>
      <c r="I25" s="1"/>
    </row>
    <row r="26" spans="1:9" x14ac:dyDescent="0.25">
      <c r="A26" s="1"/>
      <c r="B26" s="1"/>
      <c r="C26" s="1"/>
      <c r="D26" s="1"/>
      <c r="E26" s="1"/>
      <c r="F26" s="1"/>
      <c r="G26" s="1"/>
      <c r="H26" s="1"/>
      <c r="I26" s="1"/>
    </row>
    <row r="27" spans="1:9" x14ac:dyDescent="0.25">
      <c r="A27" s="1"/>
      <c r="B27" s="1"/>
      <c r="C27" s="1"/>
      <c r="D27" s="1"/>
      <c r="E27" s="1"/>
      <c r="F27" s="1"/>
      <c r="G27" s="1"/>
      <c r="H27" s="1"/>
      <c r="I27" s="1"/>
    </row>
    <row r="28" spans="1:9" x14ac:dyDescent="0.25">
      <c r="A28" s="1"/>
      <c r="B28" s="1"/>
      <c r="C28" s="1"/>
      <c r="D28" s="1"/>
      <c r="E28" s="1"/>
      <c r="F28" s="1"/>
      <c r="G28" s="1"/>
      <c r="H28" s="1"/>
      <c r="I28" s="1"/>
    </row>
    <row r="29" spans="1:9" x14ac:dyDescent="0.25">
      <c r="A29" s="1"/>
      <c r="B29" s="1"/>
      <c r="C29" s="1"/>
      <c r="D29" s="1"/>
      <c r="E29" s="1"/>
      <c r="F29" s="1"/>
      <c r="G29" s="1"/>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sheetData>
  <sheetProtection algorithmName="SHA-512" hashValue="MCjbv4TAE8tgkQO3f+NgLA1yFmCzk43MoJRbqTTUS/2r/s9v/O9yNXJ9YeLwpD3A49HtNweFkLcVkpMuKK4tcg==" saltValue="bWF0QgTMov4Fo94xIvLwMw==" spinCount="100000" sheet="1" objects="1" scenarios="1"/>
  <mergeCells count="12">
    <mergeCell ref="B18:F18"/>
    <mergeCell ref="B3:H4"/>
    <mergeCell ref="B8:H8"/>
    <mergeCell ref="B9:H9"/>
    <mergeCell ref="B10:F10"/>
    <mergeCell ref="B11:F11"/>
    <mergeCell ref="B12:F12"/>
    <mergeCell ref="B13:F13"/>
    <mergeCell ref="B14:F14"/>
    <mergeCell ref="B15:F15"/>
    <mergeCell ref="B16:F16"/>
    <mergeCell ref="B17:F17"/>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10"/>
  <dimension ref="A1:L46"/>
  <sheetViews>
    <sheetView showGridLines="0" view="pageLayout" zoomScaleNormal="100" workbookViewId="0"/>
  </sheetViews>
  <sheetFormatPr defaultColWidth="9.140625" defaultRowHeight="15" x14ac:dyDescent="0.25"/>
  <cols>
    <col min="1" max="1" width="3.85546875" style="2" customWidth="1"/>
    <col min="2" max="2" width="21.140625" style="2" customWidth="1"/>
    <col min="3" max="3" width="7.28515625" style="2" customWidth="1"/>
    <col min="4" max="4" width="9.42578125" style="2" customWidth="1"/>
    <col min="5" max="5" width="2.7109375" style="2" customWidth="1"/>
    <col min="6" max="6" width="10" style="2" customWidth="1"/>
    <col min="7" max="7" width="2.7109375" style="2" customWidth="1"/>
    <col min="8" max="8" width="10" style="2" customWidth="1"/>
    <col min="9" max="9" width="2.7109375" style="2" customWidth="1"/>
    <col min="10" max="10" width="10" style="2" customWidth="1"/>
    <col min="11" max="11" width="3" style="2" customWidth="1"/>
    <col min="12" max="12" width="3.85546875" style="2" customWidth="1"/>
    <col min="13" max="16384" width="9.140625" style="2"/>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98" t="s">
        <v>177</v>
      </c>
      <c r="C3" s="98"/>
      <c r="D3" s="98"/>
      <c r="E3" s="98"/>
      <c r="F3" s="98"/>
      <c r="G3" s="98"/>
      <c r="H3" s="98"/>
      <c r="I3" s="98"/>
      <c r="J3" s="98"/>
      <c r="K3" s="98"/>
      <c r="L3" s="1"/>
    </row>
    <row r="4" spans="1:12" ht="15" customHeight="1" x14ac:dyDescent="0.25">
      <c r="A4" s="1"/>
      <c r="B4" s="98"/>
      <c r="C4" s="98"/>
      <c r="D4" s="98"/>
      <c r="E4" s="98"/>
      <c r="F4" s="98"/>
      <c r="G4" s="98"/>
      <c r="H4" s="98"/>
      <c r="I4" s="98"/>
      <c r="J4" s="98"/>
      <c r="K4" s="98"/>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102" t="s">
        <v>155</v>
      </c>
      <c r="C8" s="103"/>
      <c r="D8" s="103"/>
      <c r="E8" s="103"/>
      <c r="F8" s="103"/>
      <c r="G8" s="103"/>
      <c r="H8" s="103"/>
      <c r="I8" s="103"/>
      <c r="J8" s="103"/>
      <c r="K8" s="104"/>
      <c r="L8" s="1"/>
    </row>
    <row r="9" spans="1:12" ht="39.75" customHeight="1" x14ac:dyDescent="0.25">
      <c r="A9" s="1"/>
      <c r="B9" s="18" t="s">
        <v>0</v>
      </c>
      <c r="C9" s="18" t="s">
        <v>1</v>
      </c>
      <c r="D9" s="139" t="s">
        <v>170</v>
      </c>
      <c r="E9" s="140"/>
      <c r="F9" s="139" t="s">
        <v>2</v>
      </c>
      <c r="G9" s="140"/>
      <c r="H9" s="139" t="s">
        <v>171</v>
      </c>
      <c r="I9" s="140"/>
      <c r="J9" s="139" t="s">
        <v>26</v>
      </c>
      <c r="K9" s="140"/>
      <c r="L9" s="1"/>
    </row>
    <row r="10" spans="1:12" x14ac:dyDescent="0.25">
      <c r="A10" s="1"/>
      <c r="B10" s="79" t="s">
        <v>238</v>
      </c>
      <c r="C10" s="31">
        <v>0</v>
      </c>
      <c r="D10" s="9">
        <v>0</v>
      </c>
      <c r="E10" s="14" t="s">
        <v>3</v>
      </c>
      <c r="F10" s="57">
        <f>IFERROR(D10/C10,0)</f>
        <v>0</v>
      </c>
      <c r="G10" s="14" t="s">
        <v>3</v>
      </c>
      <c r="H10" s="9">
        <v>0</v>
      </c>
      <c r="I10" s="14" t="s">
        <v>3</v>
      </c>
      <c r="J10" s="9">
        <v>0</v>
      </c>
      <c r="K10" s="14" t="s">
        <v>3</v>
      </c>
      <c r="L10" s="1"/>
    </row>
    <row r="11" spans="1:12" x14ac:dyDescent="0.25">
      <c r="A11" s="1"/>
      <c r="B11" s="53" t="s">
        <v>215</v>
      </c>
      <c r="C11" s="54"/>
      <c r="D11" s="19"/>
      <c r="E11" s="72"/>
      <c r="F11" s="12">
        <f>SUM(F10:F10)</f>
        <v>0</v>
      </c>
      <c r="G11" s="13" t="s">
        <v>3</v>
      </c>
      <c r="H11" s="12">
        <f>SUM(H10:H10)</f>
        <v>0</v>
      </c>
      <c r="I11" s="13" t="s">
        <v>3</v>
      </c>
      <c r="J11" s="12">
        <f>SUM(J10:J10)</f>
        <v>0</v>
      </c>
      <c r="K11" s="13"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44"/>
      <c r="B43" s="44"/>
      <c r="C43" s="44"/>
      <c r="D43" s="44"/>
      <c r="E43" s="44"/>
      <c r="F43" s="44"/>
      <c r="G43" s="44"/>
      <c r="H43" s="44"/>
      <c r="I43" s="44"/>
      <c r="J43" s="44"/>
      <c r="K43" s="44"/>
      <c r="L43" s="44"/>
    </row>
    <row r="44" spans="1:12" x14ac:dyDescent="0.25">
      <c r="A44" s="44"/>
      <c r="B44" s="44"/>
      <c r="C44" s="44"/>
      <c r="D44" s="44"/>
      <c r="E44" s="44"/>
      <c r="F44" s="44"/>
      <c r="G44" s="44"/>
      <c r="H44" s="44"/>
      <c r="I44" s="44"/>
      <c r="J44" s="44"/>
      <c r="K44" s="44"/>
      <c r="L44" s="44"/>
    </row>
    <row r="45" spans="1:12" x14ac:dyDescent="0.25">
      <c r="A45" s="44"/>
      <c r="B45" s="44"/>
      <c r="C45" s="44"/>
      <c r="D45" s="44"/>
      <c r="E45" s="44"/>
      <c r="F45" s="44"/>
      <c r="G45" s="44"/>
      <c r="H45" s="44"/>
      <c r="I45" s="44"/>
      <c r="J45" s="44"/>
      <c r="K45" s="44"/>
      <c r="L45" s="44"/>
    </row>
    <row r="46" spans="1:12" x14ac:dyDescent="0.25">
      <c r="A46" s="44"/>
      <c r="B46" s="44"/>
      <c r="C46" s="44"/>
      <c r="D46" s="44"/>
      <c r="E46" s="44"/>
      <c r="F46" s="44"/>
      <c r="G46" s="44"/>
      <c r="H46" s="44"/>
      <c r="I46" s="44"/>
      <c r="J46" s="44"/>
      <c r="K46" s="44"/>
      <c r="L46" s="44"/>
    </row>
  </sheetData>
  <sheetProtection algorithmName="SHA-512" hashValue="0Ou5YG+EilfPZvQ1spmbRJf4TK4n+VLuHwNnQyRXUydW+6kOeT0/vzn8uHWn7QDYLJUlAGD31mwbn3g8bh8VvQ==" saltValue="VIhlfxmXZHUVC8/YaWQDBw==" spinCount="100000" sheet="1" objects="1" scenarios="1"/>
  <mergeCells count="6">
    <mergeCell ref="B3:K4"/>
    <mergeCell ref="B8:K8"/>
    <mergeCell ref="D9:E9"/>
    <mergeCell ref="F9:G9"/>
    <mergeCell ref="H9:I9"/>
    <mergeCell ref="J9:K9"/>
  </mergeCells>
  <pageMargins left="0.70866141732283461" right="0.70866141732283461" top="0.74803149606299213" bottom="0.74803149606299213" header="0.31496062992125984" footer="0.31496062992125984"/>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16"/>
  <dimension ref="A1:G57"/>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7.28515625" style="2" customWidth="1"/>
    <col min="4" max="4" width="3.28515625" style="2" customWidth="1"/>
    <col min="5" max="5" width="17.28515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8" t="s">
        <v>178</v>
      </c>
      <c r="C3" s="98"/>
      <c r="D3" s="98"/>
      <c r="E3" s="98"/>
      <c r="F3" s="98"/>
      <c r="G3" s="1"/>
    </row>
    <row r="4" spans="1:7" ht="15" customHeight="1" x14ac:dyDescent="0.25">
      <c r="A4" s="1"/>
      <c r="B4" s="98"/>
      <c r="C4" s="98"/>
      <c r="D4" s="98"/>
      <c r="E4" s="98"/>
      <c r="F4" s="98"/>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53" t="s">
        <v>70</v>
      </c>
      <c r="C8" s="54"/>
      <c r="D8" s="54"/>
      <c r="E8" s="54"/>
      <c r="F8" s="19"/>
      <c r="G8" s="1"/>
    </row>
    <row r="9" spans="1:7" ht="17.25" customHeight="1" x14ac:dyDescent="0.25">
      <c r="A9" s="1"/>
      <c r="B9" s="77" t="s">
        <v>15</v>
      </c>
      <c r="C9" s="77" t="s">
        <v>10</v>
      </c>
      <c r="D9" s="78"/>
      <c r="E9" s="77" t="s">
        <v>27</v>
      </c>
      <c r="F9" s="30"/>
      <c r="G9" s="1"/>
    </row>
    <row r="10" spans="1:7" x14ac:dyDescent="0.25">
      <c r="A10" s="1"/>
      <c r="B10" s="23" t="s">
        <v>161</v>
      </c>
      <c r="C10" s="21">
        <f>'Fane 9. Anlægsprojekter (§ 19) '!H11</f>
        <v>0</v>
      </c>
      <c r="D10" s="14" t="s">
        <v>3</v>
      </c>
      <c r="E10" s="9">
        <f>'Fane 9. Anlægsprojekter (§ 19) '!F11+'Fane 9. Anlægsprojekter (§ 19) '!J11</f>
        <v>0</v>
      </c>
      <c r="F10" s="14" t="s">
        <v>3</v>
      </c>
      <c r="G10" s="1"/>
    </row>
    <row r="11" spans="1:7" x14ac:dyDescent="0.25">
      <c r="A11" s="1"/>
      <c r="B11" s="27" t="s">
        <v>262</v>
      </c>
      <c r="C11" s="21">
        <v>0</v>
      </c>
      <c r="D11" s="14" t="s">
        <v>3</v>
      </c>
      <c r="E11" s="9">
        <v>57459</v>
      </c>
      <c r="F11" s="14" t="s">
        <v>3</v>
      </c>
      <c r="G11" s="1"/>
    </row>
    <row r="12" spans="1:7" x14ac:dyDescent="0.25">
      <c r="A12" s="1"/>
      <c r="B12" s="27" t="s">
        <v>263</v>
      </c>
      <c r="C12" s="21">
        <v>21800</v>
      </c>
      <c r="D12" s="14" t="s">
        <v>3</v>
      </c>
      <c r="E12" s="9">
        <v>61224</v>
      </c>
      <c r="F12" s="14" t="s">
        <v>3</v>
      </c>
      <c r="G12" s="1"/>
    </row>
    <row r="13" spans="1:7" x14ac:dyDescent="0.25">
      <c r="A13" s="1"/>
      <c r="B13" s="27"/>
      <c r="C13" s="21"/>
      <c r="D13" s="14" t="s">
        <v>3</v>
      </c>
      <c r="E13" s="9"/>
      <c r="F13" s="14" t="s">
        <v>3</v>
      </c>
      <c r="G13" s="1"/>
    </row>
    <row r="14" spans="1:7" x14ac:dyDescent="0.25">
      <c r="A14" s="1"/>
      <c r="B14" s="27"/>
      <c r="C14" s="21"/>
      <c r="D14" s="14" t="s">
        <v>3</v>
      </c>
      <c r="E14" s="9"/>
      <c r="F14" s="14" t="s">
        <v>3</v>
      </c>
      <c r="G14" s="1"/>
    </row>
    <row r="15" spans="1:7" x14ac:dyDescent="0.25">
      <c r="A15" s="1"/>
      <c r="B15" s="27"/>
      <c r="C15" s="21"/>
      <c r="D15" s="14" t="s">
        <v>3</v>
      </c>
      <c r="E15" s="9"/>
      <c r="F15" s="14" t="s">
        <v>3</v>
      </c>
      <c r="G15" s="1"/>
    </row>
    <row r="16" spans="1:7" x14ac:dyDescent="0.25">
      <c r="A16" s="1"/>
      <c r="B16" s="27"/>
      <c r="C16" s="21"/>
      <c r="D16" s="14" t="s">
        <v>3</v>
      </c>
      <c r="E16" s="9"/>
      <c r="F16" s="14" t="s">
        <v>3</v>
      </c>
      <c r="G16" s="1"/>
    </row>
    <row r="17" spans="1:7" x14ac:dyDescent="0.25">
      <c r="A17" s="1"/>
      <c r="B17" s="53" t="s">
        <v>151</v>
      </c>
      <c r="C17" s="12">
        <f>SUM(C10:C16)</f>
        <v>21800</v>
      </c>
      <c r="D17" s="13" t="s">
        <v>3</v>
      </c>
      <c r="E17" s="12">
        <f>SUM(E10:E16)</f>
        <v>118683</v>
      </c>
      <c r="F17" s="13" t="s">
        <v>3</v>
      </c>
      <c r="G17" s="1"/>
    </row>
    <row r="18" spans="1:7" x14ac:dyDescent="0.25">
      <c r="A18" s="1"/>
      <c r="B18" s="53" t="s">
        <v>209</v>
      </c>
      <c r="C18" s="12">
        <f>C17*(1+'Fane 13. Nøgletal'!C16)</f>
        <v>23561.439999999999</v>
      </c>
      <c r="D18" s="13" t="s">
        <v>3</v>
      </c>
      <c r="E18" s="12">
        <f>E17*(1+'Fane 13. Nøgletal'!C16)</f>
        <v>128272.5864</v>
      </c>
      <c r="F18" s="13" t="s">
        <v>3</v>
      </c>
      <c r="G18" s="1"/>
    </row>
    <row r="19" spans="1:7" x14ac:dyDescent="0.25">
      <c r="A19" s="1"/>
      <c r="B19" s="1"/>
      <c r="C19" s="1" t="s">
        <v>168</v>
      </c>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row r="51" spans="1:7" x14ac:dyDescent="0.25">
      <c r="A51" s="44"/>
      <c r="B51" s="44"/>
      <c r="C51" s="44"/>
      <c r="D51" s="44"/>
      <c r="E51" s="44"/>
      <c r="F51" s="44"/>
      <c r="G51" s="44"/>
    </row>
    <row r="52" spans="1:7" x14ac:dyDescent="0.25">
      <c r="A52" s="44"/>
      <c r="B52" s="44"/>
      <c r="C52" s="44"/>
      <c r="D52" s="44"/>
      <c r="E52" s="44"/>
      <c r="F52" s="44"/>
      <c r="G52" s="44"/>
    </row>
    <row r="53" spans="1:7" x14ac:dyDescent="0.25">
      <c r="A53" s="44"/>
      <c r="B53" s="44"/>
      <c r="C53" s="44"/>
      <c r="D53" s="44"/>
      <c r="E53" s="44"/>
      <c r="F53" s="44"/>
      <c r="G53" s="44"/>
    </row>
    <row r="54" spans="1:7" x14ac:dyDescent="0.25">
      <c r="A54" s="44"/>
      <c r="B54" s="44"/>
      <c r="C54" s="44"/>
      <c r="D54" s="44"/>
      <c r="E54" s="44"/>
      <c r="F54" s="44"/>
      <c r="G54" s="44"/>
    </row>
    <row r="55" spans="1:7" x14ac:dyDescent="0.25">
      <c r="A55" s="44"/>
      <c r="B55" s="44"/>
      <c r="C55" s="44"/>
      <c r="D55" s="44"/>
      <c r="E55" s="44"/>
      <c r="F55" s="44"/>
      <c r="G55" s="44"/>
    </row>
    <row r="56" spans="1:7" x14ac:dyDescent="0.25">
      <c r="A56" s="44"/>
      <c r="B56" s="44"/>
      <c r="C56" s="44"/>
      <c r="D56" s="44"/>
      <c r="E56" s="44"/>
      <c r="F56" s="44"/>
      <c r="G56" s="44"/>
    </row>
    <row r="57" spans="1:7" x14ac:dyDescent="0.25">
      <c r="A57" s="44"/>
      <c r="B57" s="44"/>
      <c r="C57" s="44"/>
      <c r="D57" s="44"/>
      <c r="E57" s="44"/>
      <c r="F57" s="44"/>
      <c r="G57" s="44"/>
    </row>
  </sheetData>
  <sheetProtection algorithmName="SHA-512" hashValue="2+aKZfmNwcFjYmDIrPOT7YsLUwUgzqTkJ7QyBy21h3r1IK0xUZNVZ/xIFnRYjE60Crp6Hl/ehwz+hi5RjD/bsg==" saltValue="pArX0oTLC/nRlLoX8R2eZA==" spinCount="100000" sheet="1" objects="1" scenarios="1"/>
  <mergeCells count="1">
    <mergeCell ref="B3:F4"/>
  </mergeCells>
  <pageMargins left="0.70866141732283461" right="0.70866141732283461" top="0.74803149606299213" bottom="0.74803149606299213" header="0.31496062992125984" footer="0.31496062992125984"/>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17"/>
  <dimension ref="A1:G47"/>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7.28515625" style="2" customWidth="1"/>
    <col min="4" max="4" width="3.28515625" style="2" customWidth="1"/>
    <col min="5" max="5" width="17.28515625" style="2" customWidth="1"/>
    <col min="6" max="6" width="3.28515625" style="2" customWidth="1"/>
    <col min="7" max="7" width="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8" t="s">
        <v>179</v>
      </c>
      <c r="C3" s="98"/>
      <c r="D3" s="98"/>
      <c r="E3" s="98"/>
      <c r="F3" s="98"/>
      <c r="G3" s="1"/>
    </row>
    <row r="4" spans="1:7" ht="15" customHeight="1" x14ac:dyDescent="0.25">
      <c r="A4" s="1"/>
      <c r="B4" s="98"/>
      <c r="C4" s="98"/>
      <c r="D4" s="98"/>
      <c r="E4" s="98"/>
      <c r="F4" s="98"/>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x14ac:dyDescent="0.25">
      <c r="A9" s="1"/>
      <c r="B9" s="102" t="s">
        <v>217</v>
      </c>
      <c r="C9" s="103"/>
      <c r="D9" s="103"/>
      <c r="E9" s="103"/>
      <c r="F9" s="104"/>
      <c r="G9" s="1"/>
    </row>
    <row r="10" spans="1:7" ht="26.25" x14ac:dyDescent="0.25">
      <c r="A10" s="1"/>
      <c r="B10" s="77" t="s">
        <v>15</v>
      </c>
      <c r="C10" s="77" t="s">
        <v>10</v>
      </c>
      <c r="D10" s="78"/>
      <c r="E10" s="77" t="s">
        <v>27</v>
      </c>
      <c r="F10" s="30"/>
      <c r="G10" s="1"/>
    </row>
    <row r="11" spans="1:7" ht="26.25" x14ac:dyDescent="0.25">
      <c r="A11" s="1"/>
      <c r="B11" s="59" t="s">
        <v>264</v>
      </c>
      <c r="C11" s="21">
        <v>431432</v>
      </c>
      <c r="D11" s="14" t="s">
        <v>3</v>
      </c>
      <c r="E11" s="9">
        <v>0</v>
      </c>
      <c r="F11" s="14" t="s">
        <v>3</v>
      </c>
      <c r="G11" s="1"/>
    </row>
    <row r="12" spans="1:7" x14ac:dyDescent="0.25">
      <c r="A12" s="1"/>
      <c r="B12" s="53" t="s">
        <v>218</v>
      </c>
      <c r="C12" s="12">
        <f>SUM(C11:C11)</f>
        <v>431432</v>
      </c>
      <c r="D12" s="13" t="s">
        <v>3</v>
      </c>
      <c r="E12" s="12">
        <f>SUM(E11:E11)</f>
        <v>0</v>
      </c>
      <c r="F12" s="13" t="s">
        <v>3</v>
      </c>
      <c r="G12" s="1"/>
    </row>
    <row r="13" spans="1:7" x14ac:dyDescent="0.25">
      <c r="A13" s="1"/>
      <c r="B13" s="53" t="s">
        <v>219</v>
      </c>
      <c r="C13" s="12">
        <f>C12*(1+'Fane 13. Nøgletal'!$C$16)^2</f>
        <v>503968.07541247999</v>
      </c>
      <c r="D13" s="13" t="s">
        <v>3</v>
      </c>
      <c r="E13" s="12">
        <f>E12*(1+'Fane 13. Nøgletal'!$C$16)^2</f>
        <v>0</v>
      </c>
      <c r="F13" s="13" t="s">
        <v>3</v>
      </c>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ht="18" customHeight="1"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sheetData>
  <sheetProtection algorithmName="SHA-512" hashValue="IE8aygl9sDKbwj3KOWS3vat1KOrK9lo4qORkR+K3F6kjev6Ql/nptdZC5R5cbyDJIXPTZo58Fuy5grIs0FxXig==" saltValue="W/Fg9yiEYl5yXEaBFCWRDQ==" spinCount="100000" sheet="1" objects="1" scenarios="1"/>
  <mergeCells count="2">
    <mergeCell ref="B3:F4"/>
    <mergeCell ref="B9:F9"/>
  </mergeCells>
  <pageMargins left="0.70866141732283461" right="0.70866141732283461" top="0.74803149606299213" bottom="0.74803149606299213" header="0.31496062992125984" footer="0.31496062992125984"/>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Ark18"/>
  <dimension ref="A1:G48"/>
  <sheetViews>
    <sheetView showGridLines="0" view="pageLayout" zoomScaleNormal="100" workbookViewId="0"/>
  </sheetViews>
  <sheetFormatPr defaultColWidth="9.140625" defaultRowHeight="15" x14ac:dyDescent="0.25"/>
  <cols>
    <col min="1" max="1" width="5.42578125" style="2" customWidth="1"/>
    <col min="2" max="2" width="41.140625" style="2" bestFit="1" customWidth="1"/>
    <col min="3" max="3" width="13.85546875" style="2" customWidth="1"/>
    <col min="4" max="4" width="3.28515625" style="2" customWidth="1"/>
    <col min="5" max="5" width="13.85546875" style="2" customWidth="1"/>
    <col min="6" max="6" width="3.28515625" style="2" customWidth="1"/>
    <col min="7" max="7" width="5.8554687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1" t="s">
        <v>180</v>
      </c>
      <c r="C3" s="101"/>
      <c r="D3" s="101"/>
      <c r="E3" s="101"/>
      <c r="F3" s="101"/>
      <c r="G3" s="1"/>
    </row>
    <row r="4" spans="1:7" ht="25.5" customHeight="1" x14ac:dyDescent="0.25">
      <c r="A4" s="1"/>
      <c r="B4" s="101"/>
      <c r="C4" s="101"/>
      <c r="D4" s="101"/>
      <c r="E4" s="101"/>
      <c r="F4" s="101"/>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02" t="s">
        <v>104</v>
      </c>
      <c r="C8" s="103"/>
      <c r="D8" s="103"/>
      <c r="E8" s="103"/>
      <c r="F8" s="104"/>
      <c r="G8" s="1"/>
    </row>
    <row r="9" spans="1:7" ht="15" customHeight="1" x14ac:dyDescent="0.25">
      <c r="A9" s="1"/>
      <c r="B9" s="55" t="s">
        <v>105</v>
      </c>
      <c r="C9" s="133" t="s">
        <v>10</v>
      </c>
      <c r="D9" s="135"/>
      <c r="E9" s="133" t="s">
        <v>27</v>
      </c>
      <c r="F9" s="135"/>
      <c r="G9" s="1"/>
    </row>
    <row r="10" spans="1:7" ht="26.25" x14ac:dyDescent="0.25">
      <c r="A10" s="1"/>
      <c r="B10" s="59" t="s">
        <v>241</v>
      </c>
      <c r="C10" s="9">
        <v>0</v>
      </c>
      <c r="D10" s="14" t="s">
        <v>3</v>
      </c>
      <c r="E10" s="9">
        <v>0</v>
      </c>
      <c r="F10" s="14" t="s">
        <v>3</v>
      </c>
      <c r="G10" s="1"/>
    </row>
    <row r="11" spans="1:7" x14ac:dyDescent="0.25">
      <c r="A11" s="1"/>
      <c r="B11" s="23"/>
      <c r="C11" s="9"/>
      <c r="D11" s="14" t="s">
        <v>3</v>
      </c>
      <c r="E11" s="9"/>
      <c r="F11" s="14" t="s">
        <v>3</v>
      </c>
      <c r="G11" s="1"/>
    </row>
    <row r="12" spans="1:7" x14ac:dyDescent="0.25">
      <c r="A12" s="1"/>
      <c r="B12" s="23"/>
      <c r="C12" s="9"/>
      <c r="D12" s="14" t="s">
        <v>3</v>
      </c>
      <c r="E12" s="9"/>
      <c r="F12" s="14" t="s">
        <v>3</v>
      </c>
      <c r="G12" s="1"/>
    </row>
    <row r="13" spans="1:7" ht="28.5" customHeight="1" x14ac:dyDescent="0.25">
      <c r="A13" s="1"/>
      <c r="B13" s="20" t="s">
        <v>152</v>
      </c>
      <c r="C13" s="12">
        <f>SUM(C10:C12)</f>
        <v>0</v>
      </c>
      <c r="D13" s="13" t="s">
        <v>3</v>
      </c>
      <c r="E13" s="12">
        <f>SUM(E10:E12)</f>
        <v>0</v>
      </c>
      <c r="F13" s="13" t="s">
        <v>3</v>
      </c>
      <c r="G13" s="1"/>
    </row>
    <row r="14" spans="1:7" ht="27" customHeight="1" x14ac:dyDescent="0.25">
      <c r="A14" s="1"/>
      <c r="B14" s="20" t="s">
        <v>216</v>
      </c>
      <c r="C14" s="12">
        <f>C13*(1+'Fane 13. Nøgletal'!C16)</f>
        <v>0</v>
      </c>
      <c r="D14" s="13" t="s">
        <v>3</v>
      </c>
      <c r="E14" s="12">
        <f>E13*(1+'Fane 13. Nøgletal'!C16)</f>
        <v>0</v>
      </c>
      <c r="F14" s="13" t="s">
        <v>3</v>
      </c>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44"/>
      <c r="B48" s="44"/>
      <c r="C48" s="44"/>
      <c r="D48" s="44"/>
      <c r="E48" s="44"/>
      <c r="F48" s="44"/>
      <c r="G48" s="44"/>
    </row>
  </sheetData>
  <sheetProtection algorithmName="SHA-512" hashValue="6jQsFlbOIGyhdGGJrC5QTmfDpYPBZttegZEvda9JBzIRge2vBsX7v3QAbLAg2YbDDZSdKlAgcGG/GMkAeg1W9g==" saltValue="iuPFyhlfYo/0S1XmAyTlRQ==" spinCount="100000" sheet="1" objects="1" scenarios="1"/>
  <mergeCells count="4">
    <mergeCell ref="B3:F4"/>
    <mergeCell ref="B8:F8"/>
    <mergeCell ref="C9:D9"/>
    <mergeCell ref="E9:F9"/>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Ark14"/>
  <dimension ref="A1:G49"/>
  <sheetViews>
    <sheetView showGridLines="0" view="pageLayout" zoomScaleNormal="100" workbookViewId="0"/>
  </sheetViews>
  <sheetFormatPr defaultColWidth="9.140625" defaultRowHeight="15" x14ac:dyDescent="0.25"/>
  <cols>
    <col min="1" max="1" width="5.140625" style="2" customWidth="1"/>
    <col min="2" max="2" width="36.28515625" style="2" customWidth="1"/>
    <col min="3" max="3" width="17.140625" style="2" customWidth="1"/>
    <col min="4" max="4" width="3.28515625" style="2" customWidth="1"/>
    <col min="5" max="5" width="17.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1" t="s">
        <v>181</v>
      </c>
      <c r="C3" s="101"/>
      <c r="D3" s="101"/>
      <c r="E3" s="101"/>
      <c r="F3" s="101"/>
      <c r="G3" s="1"/>
    </row>
    <row r="4" spans="1:7" ht="25.5" customHeight="1" x14ac:dyDescent="0.25">
      <c r="A4" s="1"/>
      <c r="B4" s="101"/>
      <c r="C4" s="101"/>
      <c r="D4" s="101"/>
      <c r="E4" s="101"/>
      <c r="F4" s="101"/>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
      <c r="C9" s="1"/>
      <c r="D9" s="1"/>
      <c r="E9" s="1"/>
      <c r="F9" s="1"/>
      <c r="G9" s="1"/>
    </row>
    <row r="10" spans="1:7" x14ac:dyDescent="0.25">
      <c r="A10" s="1"/>
      <c r="B10" s="102" t="s">
        <v>237</v>
      </c>
      <c r="C10" s="103"/>
      <c r="D10" s="103"/>
      <c r="E10" s="103"/>
      <c r="F10" s="104"/>
      <c r="G10" s="1"/>
    </row>
    <row r="11" spans="1:7" ht="26.25" x14ac:dyDescent="0.25">
      <c r="A11" s="1"/>
      <c r="B11" s="55" t="s">
        <v>16</v>
      </c>
      <c r="C11" s="55" t="s">
        <v>10</v>
      </c>
      <c r="D11" s="30"/>
      <c r="E11" s="55" t="s">
        <v>27</v>
      </c>
      <c r="F11" s="30"/>
      <c r="G11" s="1"/>
    </row>
    <row r="12" spans="1:7" x14ac:dyDescent="0.25">
      <c r="A12" s="1"/>
      <c r="B12" s="59" t="s">
        <v>242</v>
      </c>
      <c r="C12" s="9">
        <v>0</v>
      </c>
      <c r="D12" s="14" t="s">
        <v>3</v>
      </c>
      <c r="E12" s="9">
        <v>0</v>
      </c>
      <c r="F12" s="14" t="s">
        <v>3</v>
      </c>
      <c r="G12" s="1"/>
    </row>
    <row r="13" spans="1:7" x14ac:dyDescent="0.25">
      <c r="A13" s="1"/>
      <c r="B13" s="53" t="s">
        <v>78</v>
      </c>
      <c r="C13" s="12">
        <f>SUM(C12:C12)</f>
        <v>0</v>
      </c>
      <c r="D13" s="13" t="s">
        <v>3</v>
      </c>
      <c r="E13" s="12">
        <f>SUM(E12:E12)</f>
        <v>0</v>
      </c>
      <c r="F13" s="13" t="s">
        <v>3</v>
      </c>
      <c r="G13" s="1"/>
    </row>
    <row r="14" spans="1:7" x14ac:dyDescent="0.25">
      <c r="A14" s="1"/>
      <c r="B14" s="53" t="s">
        <v>233</v>
      </c>
      <c r="C14" s="12">
        <f>C13*(1+'Fane 13. Nøgletal'!C16)</f>
        <v>0</v>
      </c>
      <c r="D14" s="13" t="s">
        <v>3</v>
      </c>
      <c r="E14" s="12">
        <f>E13*(1+'Fane 13. Nøgletal'!C16)</f>
        <v>0</v>
      </c>
      <c r="F14" s="13" t="s">
        <v>3</v>
      </c>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i2d2FOgPYIDWObAssemM9lI3vTq0roIN1XO12qYe6lcoAMzjh/mGR9BYpBEqPjwQ+5ESqWcSQ5oPKVvSdHFhqw==" saltValue="XD2WawDF3HOXKHGfM58Nfg==" spinCount="100000" sheet="1" objects="1" scenarios="1"/>
  <mergeCells count="2">
    <mergeCell ref="B3:F4"/>
    <mergeCell ref="B10:F10"/>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Ark19"/>
  <dimension ref="A1:D53"/>
  <sheetViews>
    <sheetView showGridLines="0" view="pageLayout" zoomScaleNormal="100" workbookViewId="0"/>
  </sheetViews>
  <sheetFormatPr defaultColWidth="9.140625" defaultRowHeight="15" x14ac:dyDescent="0.25"/>
  <cols>
    <col min="1" max="1" width="9" style="2" customWidth="1"/>
    <col min="2" max="2" width="56.28515625" style="2" customWidth="1"/>
    <col min="3" max="3" width="6.7109375" style="43" customWidth="1"/>
    <col min="4" max="4" width="9" style="2" customWidth="1"/>
    <col min="5" max="16384" width="9.140625" style="2"/>
  </cols>
  <sheetData>
    <row r="1" spans="1:4" x14ac:dyDescent="0.25">
      <c r="A1" s="1"/>
      <c r="B1" s="1"/>
      <c r="C1" s="38"/>
      <c r="D1" s="1"/>
    </row>
    <row r="2" spans="1:4" x14ac:dyDescent="0.25">
      <c r="A2" s="1"/>
      <c r="B2" s="1"/>
      <c r="C2" s="38"/>
      <c r="D2" s="1"/>
    </row>
    <row r="3" spans="1:4" ht="15" customHeight="1" x14ac:dyDescent="0.25">
      <c r="A3" s="1"/>
      <c r="B3" s="101" t="s">
        <v>182</v>
      </c>
      <c r="C3" s="101"/>
      <c r="D3" s="1"/>
    </row>
    <row r="4" spans="1:4" ht="25.5" customHeight="1" x14ac:dyDescent="0.25">
      <c r="A4" s="1"/>
      <c r="B4" s="101"/>
      <c r="C4" s="101"/>
      <c r="D4" s="1"/>
    </row>
    <row r="5" spans="1:4" x14ac:dyDescent="0.25">
      <c r="A5" s="1"/>
      <c r="B5" s="1"/>
      <c r="C5" s="38"/>
      <c r="D5" s="1"/>
    </row>
    <row r="6" spans="1:4" x14ac:dyDescent="0.25">
      <c r="A6" s="1"/>
      <c r="B6" s="1"/>
      <c r="C6" s="38"/>
      <c r="D6" s="1"/>
    </row>
    <row r="7" spans="1:4" x14ac:dyDescent="0.25">
      <c r="A7" s="1"/>
      <c r="B7" s="1"/>
      <c r="C7" s="38"/>
      <c r="D7" s="1"/>
    </row>
    <row r="8" spans="1:4" x14ac:dyDescent="0.25">
      <c r="A8" s="1"/>
      <c r="B8" s="53" t="s">
        <v>13</v>
      </c>
      <c r="C8" s="39"/>
      <c r="D8" s="1"/>
    </row>
    <row r="9" spans="1:4" x14ac:dyDescent="0.25">
      <c r="A9" s="1"/>
      <c r="B9" s="69" t="s">
        <v>93</v>
      </c>
      <c r="C9" s="40">
        <v>1.2699999999999999E-2</v>
      </c>
      <c r="D9" s="1"/>
    </row>
    <row r="10" spans="1:4" x14ac:dyDescent="0.25">
      <c r="A10" s="1"/>
      <c r="B10" s="69" t="s">
        <v>21</v>
      </c>
      <c r="C10" s="40">
        <v>1.7500000000000002E-2</v>
      </c>
      <c r="D10" s="1"/>
    </row>
    <row r="11" spans="1:4" x14ac:dyDescent="0.25">
      <c r="A11" s="1"/>
      <c r="B11" s="69" t="s">
        <v>94</v>
      </c>
      <c r="C11" s="40">
        <v>1.6899999999999998E-2</v>
      </c>
      <c r="D11" s="1"/>
    </row>
    <row r="12" spans="1:4" x14ac:dyDescent="0.25">
      <c r="A12" s="1"/>
      <c r="B12" s="25" t="s">
        <v>35</v>
      </c>
      <c r="C12" s="41">
        <v>1.9699999999999999E-2</v>
      </c>
      <c r="D12" s="1"/>
    </row>
    <row r="13" spans="1:4" x14ac:dyDescent="0.25">
      <c r="A13" s="1"/>
      <c r="B13" s="25" t="s">
        <v>110</v>
      </c>
      <c r="C13" s="41">
        <v>1.2200000000000001E-2</v>
      </c>
      <c r="D13" s="1"/>
    </row>
    <row r="14" spans="1:4" x14ac:dyDescent="0.25">
      <c r="A14" s="1"/>
      <c r="B14" s="25" t="s">
        <v>136</v>
      </c>
      <c r="C14" s="42">
        <v>3.3E-3</v>
      </c>
      <c r="D14" s="1"/>
    </row>
    <row r="15" spans="1:4" x14ac:dyDescent="0.25">
      <c r="A15" s="1"/>
      <c r="B15" s="25" t="s">
        <v>153</v>
      </c>
      <c r="C15" s="42">
        <v>3.56E-2</v>
      </c>
      <c r="D15" s="1"/>
    </row>
    <row r="16" spans="1:4" x14ac:dyDescent="0.25">
      <c r="A16" s="1"/>
      <c r="B16" s="51" t="s">
        <v>207</v>
      </c>
      <c r="C16" s="42">
        <v>8.0799999999999997E-2</v>
      </c>
      <c r="D16" s="1"/>
    </row>
    <row r="17" spans="1:4" x14ac:dyDescent="0.25">
      <c r="A17" s="1"/>
      <c r="B17" s="102"/>
      <c r="C17" s="104"/>
      <c r="D17" s="1"/>
    </row>
    <row r="18" spans="1:4" x14ac:dyDescent="0.25">
      <c r="A18" s="1"/>
      <c r="B18" s="1"/>
      <c r="C18" s="38"/>
      <c r="D18" s="1"/>
    </row>
    <row r="19" spans="1:4" x14ac:dyDescent="0.25">
      <c r="A19" s="1"/>
      <c r="B19" s="1"/>
      <c r="C19" s="38"/>
      <c r="D19" s="1"/>
    </row>
    <row r="20" spans="1:4" x14ac:dyDescent="0.25">
      <c r="A20" s="1"/>
      <c r="B20" s="53" t="s">
        <v>81</v>
      </c>
      <c r="C20" s="39"/>
      <c r="D20" s="1"/>
    </row>
    <row r="21" spans="1:4" x14ac:dyDescent="0.25">
      <c r="A21" s="1"/>
      <c r="B21" s="69" t="s">
        <v>95</v>
      </c>
      <c r="C21" s="42">
        <v>9.1000000000000004E-3</v>
      </c>
      <c r="D21" s="1"/>
    </row>
    <row r="22" spans="1:4" x14ac:dyDescent="0.25">
      <c r="A22" s="1"/>
      <c r="B22" s="69" t="s">
        <v>96</v>
      </c>
      <c r="C22" s="42">
        <v>1.77E-2</v>
      </c>
      <c r="D22" s="1"/>
    </row>
    <row r="23" spans="1:4" x14ac:dyDescent="0.25">
      <c r="A23" s="1"/>
      <c r="B23" s="69" t="s">
        <v>97</v>
      </c>
      <c r="C23" s="42">
        <v>8.6999999999999994E-3</v>
      </c>
      <c r="D23" s="1"/>
    </row>
    <row r="24" spans="1:4" x14ac:dyDescent="0.25">
      <c r="A24" s="1"/>
      <c r="B24" s="69" t="s">
        <v>98</v>
      </c>
      <c r="C24" s="42">
        <v>2.8400000000000002E-2</v>
      </c>
      <c r="D24" s="1"/>
    </row>
    <row r="25" spans="1:4" x14ac:dyDescent="0.25">
      <c r="A25" s="1"/>
      <c r="B25" s="69" t="s">
        <v>111</v>
      </c>
      <c r="C25" s="42">
        <v>2.75E-2</v>
      </c>
      <c r="D25" s="1"/>
    </row>
    <row r="26" spans="1:4" x14ac:dyDescent="0.25">
      <c r="A26" s="1"/>
      <c r="B26" s="69" t="s">
        <v>137</v>
      </c>
      <c r="C26" s="42">
        <v>1.4800000000000001E-2</v>
      </c>
      <c r="D26" s="1"/>
    </row>
    <row r="27" spans="1:4" x14ac:dyDescent="0.25">
      <c r="A27" s="1"/>
      <c r="B27" s="25" t="s">
        <v>154</v>
      </c>
      <c r="C27" s="42">
        <v>0</v>
      </c>
      <c r="D27" s="1"/>
    </row>
    <row r="28" spans="1:4" x14ac:dyDescent="0.25">
      <c r="A28" s="1"/>
      <c r="B28" s="51" t="s">
        <v>208</v>
      </c>
      <c r="C28" s="42">
        <v>0</v>
      </c>
      <c r="D28" s="1"/>
    </row>
    <row r="29" spans="1:4" x14ac:dyDescent="0.25">
      <c r="A29" s="1"/>
      <c r="B29" s="53"/>
      <c r="C29" s="39"/>
      <c r="D29" s="1"/>
    </row>
    <row r="30" spans="1:4" x14ac:dyDescent="0.25">
      <c r="A30" s="1"/>
      <c r="B30" s="1"/>
      <c r="C30" s="38"/>
      <c r="D30" s="1"/>
    </row>
    <row r="31" spans="1:4" x14ac:dyDescent="0.25">
      <c r="A31" s="1"/>
      <c r="B31" s="1"/>
      <c r="C31" s="38"/>
      <c r="D31" s="1"/>
    </row>
    <row r="32" spans="1:4" x14ac:dyDescent="0.25">
      <c r="A32" s="1"/>
      <c r="B32" s="53" t="s">
        <v>82</v>
      </c>
      <c r="C32" s="39"/>
      <c r="D32" s="1"/>
    </row>
    <row r="33" spans="1:4" x14ac:dyDescent="0.25">
      <c r="A33" s="1"/>
      <c r="B33" s="69" t="s">
        <v>99</v>
      </c>
      <c r="C33" s="40">
        <v>0.02</v>
      </c>
      <c r="D33" s="1"/>
    </row>
    <row r="34" spans="1:4" x14ac:dyDescent="0.25">
      <c r="A34" s="1"/>
      <c r="B34" s="53"/>
      <c r="C34" s="39"/>
      <c r="D34" s="1"/>
    </row>
    <row r="35" spans="1:4" x14ac:dyDescent="0.25">
      <c r="A35" s="1"/>
      <c r="B35" s="1"/>
      <c r="C35" s="38"/>
      <c r="D35" s="1"/>
    </row>
    <row r="36" spans="1:4" x14ac:dyDescent="0.25">
      <c r="A36" s="1"/>
      <c r="B36" s="1"/>
      <c r="C36" s="38"/>
      <c r="D36" s="1"/>
    </row>
    <row r="37" spans="1:4" x14ac:dyDescent="0.25">
      <c r="A37" s="1"/>
      <c r="B37" s="1"/>
      <c r="C37" s="38"/>
      <c r="D37" s="1"/>
    </row>
    <row r="38" spans="1:4" x14ac:dyDescent="0.25">
      <c r="A38" s="1"/>
      <c r="B38" s="1"/>
      <c r="C38" s="38"/>
      <c r="D38" s="1"/>
    </row>
    <row r="39" spans="1:4" x14ac:dyDescent="0.25">
      <c r="A39" s="1"/>
      <c r="B39" s="1"/>
      <c r="C39" s="38"/>
      <c r="D39" s="1"/>
    </row>
    <row r="40" spans="1:4" x14ac:dyDescent="0.25">
      <c r="A40" s="1"/>
      <c r="B40" s="1"/>
      <c r="C40" s="38"/>
      <c r="D40" s="1"/>
    </row>
    <row r="41" spans="1:4" x14ac:dyDescent="0.25">
      <c r="A41" s="1"/>
      <c r="B41" s="1"/>
      <c r="C41" s="38"/>
      <c r="D41" s="1"/>
    </row>
    <row r="42" spans="1:4" x14ac:dyDescent="0.25">
      <c r="A42" s="1"/>
      <c r="B42" s="1"/>
      <c r="C42" s="38"/>
      <c r="D42" s="1"/>
    </row>
    <row r="43" spans="1:4" x14ac:dyDescent="0.25">
      <c r="A43" s="1"/>
      <c r="B43" s="1"/>
      <c r="C43" s="38"/>
      <c r="D43" s="1"/>
    </row>
    <row r="44" spans="1:4" x14ac:dyDescent="0.25">
      <c r="A44" s="1"/>
      <c r="B44" s="1"/>
      <c r="C44" s="38"/>
      <c r="D44" s="1"/>
    </row>
    <row r="45" spans="1:4" x14ac:dyDescent="0.25">
      <c r="A45" s="1"/>
      <c r="B45" s="1"/>
      <c r="C45" s="38"/>
      <c r="D45" s="1"/>
    </row>
    <row r="46" spans="1:4" x14ac:dyDescent="0.25">
      <c r="A46" s="1"/>
      <c r="B46" s="1"/>
      <c r="C46" s="38"/>
      <c r="D46" s="1"/>
    </row>
    <row r="47" spans="1:4" x14ac:dyDescent="0.25">
      <c r="A47" s="1"/>
      <c r="B47" s="1"/>
      <c r="C47" s="38"/>
      <c r="D47" s="1"/>
    </row>
    <row r="48" spans="1:4" x14ac:dyDescent="0.25">
      <c r="A48" s="1"/>
      <c r="B48" s="1"/>
      <c r="C48" s="38"/>
      <c r="D48" s="1"/>
    </row>
    <row r="49" spans="1:4" x14ac:dyDescent="0.25">
      <c r="A49" s="1"/>
      <c r="B49" s="1"/>
      <c r="C49" s="38"/>
      <c r="D49" s="1"/>
    </row>
    <row r="50" spans="1:4" x14ac:dyDescent="0.25">
      <c r="A50" s="44"/>
      <c r="B50" s="44"/>
      <c r="C50" s="46"/>
      <c r="D50" s="44"/>
    </row>
    <row r="51" spans="1:4" x14ac:dyDescent="0.25">
      <c r="A51" s="44"/>
      <c r="B51" s="44"/>
      <c r="C51" s="46"/>
      <c r="D51" s="44"/>
    </row>
    <row r="52" spans="1:4" x14ac:dyDescent="0.25">
      <c r="A52" s="44"/>
      <c r="B52" s="44"/>
      <c r="C52" s="46"/>
      <c r="D52" s="44"/>
    </row>
    <row r="53" spans="1:4" x14ac:dyDescent="0.25">
      <c r="A53" s="44"/>
      <c r="B53" s="44"/>
      <c r="C53" s="46"/>
      <c r="D53" s="44"/>
    </row>
  </sheetData>
  <sheetProtection algorithmName="SHA-512" hashValue="pBW5s9PIlOghpsFzr3OI9xuWFjZ2X/1/FoRdUZ4s0uZTyVumB8L7ttP8wSedE4vtHlckBORrFmm2CBALNVYwLQ==" saltValue="LUWshYA9va7Q4NLjgqomCQ==" spinCount="100000" sheet="1" objects="1" scenarios="1"/>
  <mergeCells count="2">
    <mergeCell ref="B3:C4"/>
    <mergeCell ref="B17:C17"/>
  </mergeCells>
  <pageMargins left="0.8125"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dimension ref="A1:E49"/>
  <sheetViews>
    <sheetView showGridLines="0" view="pageLayout" zoomScaleNormal="100" workbookViewId="0"/>
  </sheetViews>
  <sheetFormatPr defaultColWidth="9.140625" defaultRowHeight="15" x14ac:dyDescent="0.25"/>
  <cols>
    <col min="1" max="1" width="6.5703125" style="2" customWidth="1"/>
    <col min="2" max="2" width="56.7109375" style="2" customWidth="1"/>
    <col min="3" max="3" width="12.7109375" style="2" bestFit="1" customWidth="1"/>
    <col min="4" max="4" width="3" style="2" customWidth="1"/>
    <col min="5" max="5" width="6.28515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98" t="s">
        <v>198</v>
      </c>
      <c r="C3" s="98"/>
      <c r="D3" s="98"/>
      <c r="E3" s="1"/>
    </row>
    <row r="4" spans="1:5" ht="15" customHeight="1" x14ac:dyDescent="0.25">
      <c r="A4" s="1"/>
      <c r="B4" s="98"/>
      <c r="C4" s="98"/>
      <c r="D4" s="98"/>
      <c r="E4" s="1"/>
    </row>
    <row r="5" spans="1:5" x14ac:dyDescent="0.25">
      <c r="A5" s="1"/>
      <c r="B5" s="1"/>
      <c r="C5" s="1"/>
      <c r="D5" s="1"/>
      <c r="E5" s="1"/>
    </row>
    <row r="6" spans="1:5" x14ac:dyDescent="0.25">
      <c r="A6" s="1"/>
      <c r="B6" s="1"/>
      <c r="C6" s="1"/>
      <c r="D6" s="1"/>
      <c r="E6" s="1"/>
    </row>
    <row r="7" spans="1:5" x14ac:dyDescent="0.25">
      <c r="A7" s="1"/>
      <c r="B7" s="53" t="s">
        <v>12</v>
      </c>
      <c r="C7" s="54"/>
      <c r="D7" s="19"/>
      <c r="E7" s="1"/>
    </row>
    <row r="8" spans="1:5" x14ac:dyDescent="0.25">
      <c r="A8" s="1"/>
      <c r="B8" s="56" t="s">
        <v>109</v>
      </c>
      <c r="C8" s="7">
        <f>'Fane 3. Omkostninger i ØR2023'!C19</f>
        <v>15933054.452998232</v>
      </c>
      <c r="D8" s="8" t="s">
        <v>3</v>
      </c>
      <c r="E8" s="1"/>
    </row>
    <row r="9" spans="1:5" ht="17.100000000000001" customHeight="1" x14ac:dyDescent="0.25">
      <c r="A9" s="1"/>
      <c r="B9" s="24" t="s">
        <v>33</v>
      </c>
      <c r="C9" s="7">
        <f>'Fane 10.1. Varige tillæg'!C18</f>
        <v>23561.439999999999</v>
      </c>
      <c r="D9" s="8" t="s">
        <v>3</v>
      </c>
      <c r="E9" s="1"/>
    </row>
    <row r="10" spans="1:5" ht="17.100000000000001" customHeight="1" x14ac:dyDescent="0.25">
      <c r="A10" s="1"/>
      <c r="B10" s="24" t="s">
        <v>34</v>
      </c>
      <c r="C10" s="9">
        <f>'Fane 10.1. Varige tillæg'!E18</f>
        <v>128272.5864</v>
      </c>
      <c r="D10" s="8" t="s">
        <v>3</v>
      </c>
      <c r="E10" s="1"/>
    </row>
    <row r="11" spans="1:5" ht="17.100000000000001" customHeight="1" x14ac:dyDescent="0.25">
      <c r="A11" s="1"/>
      <c r="B11" s="24" t="s">
        <v>25</v>
      </c>
      <c r="C11" s="9">
        <f>-'Fane 12. Bortfald'!C14</f>
        <v>0</v>
      </c>
      <c r="D11" s="8" t="s">
        <v>3</v>
      </c>
      <c r="E11" s="1"/>
    </row>
    <row r="12" spans="1:5" ht="17.100000000000001" customHeight="1" x14ac:dyDescent="0.25">
      <c r="A12" s="1"/>
      <c r="B12" s="24" t="s">
        <v>24</v>
      </c>
      <c r="C12" s="9">
        <f>-'Fane 12. Bortfald'!E14</f>
        <v>0</v>
      </c>
      <c r="D12" s="8" t="s">
        <v>3</v>
      </c>
      <c r="E12" s="1"/>
    </row>
    <row r="13" spans="1:5" ht="17.100000000000001" customHeight="1" x14ac:dyDescent="0.25">
      <c r="A13" s="1"/>
      <c r="B13" s="24" t="s">
        <v>106</v>
      </c>
      <c r="C13" s="9">
        <f>'Fane 11. Tilknyttet virksomhed'!C14</f>
        <v>0</v>
      </c>
      <c r="D13" s="8" t="s">
        <v>3</v>
      </c>
      <c r="E13" s="1"/>
    </row>
    <row r="14" spans="1:5" ht="17.100000000000001" customHeight="1" x14ac:dyDescent="0.25">
      <c r="A14" s="1"/>
      <c r="B14" s="24" t="s">
        <v>107</v>
      </c>
      <c r="C14" s="9">
        <f>'Fane 11. Tilknyttet virksomhed'!E14</f>
        <v>0</v>
      </c>
      <c r="D14" s="8" t="s">
        <v>3</v>
      </c>
      <c r="E14" s="1"/>
    </row>
    <row r="15" spans="1:5" ht="17.100000000000001" customHeight="1" x14ac:dyDescent="0.25">
      <c r="A15" s="1"/>
      <c r="B15" s="24" t="s">
        <v>17</v>
      </c>
      <c r="C15" s="9">
        <f>C8*'Fane 13. Nøgletal'!C15+SUM(C9:C14)*'Fane 13. Nøgletal'!C16</f>
        <v>579484.9278598571</v>
      </c>
      <c r="D15" s="8" t="s">
        <v>3</v>
      </c>
      <c r="E15" s="1"/>
    </row>
    <row r="16" spans="1:5" ht="17.100000000000001" customHeight="1" x14ac:dyDescent="0.25">
      <c r="A16" s="1"/>
      <c r="B16" s="24" t="s">
        <v>9</v>
      </c>
      <c r="C16" s="9">
        <f>-SUM(C8,C9:C15)*'Fane 5. Individuelt eff. krav'!G9</f>
        <v>0</v>
      </c>
      <c r="D16" s="8" t="s">
        <v>3</v>
      </c>
      <c r="E16" s="1"/>
    </row>
    <row r="17" spans="1:5" ht="17.100000000000001" customHeight="1" x14ac:dyDescent="0.25">
      <c r="A17" s="1"/>
      <c r="B17" s="24" t="s">
        <v>22</v>
      </c>
      <c r="C17" s="9">
        <f>-'Fane 4.1. Gen. krav - drift'!G49</f>
        <v>-184272.79514261091</v>
      </c>
      <c r="D17" s="8" t="s">
        <v>3</v>
      </c>
      <c r="E17" s="1"/>
    </row>
    <row r="18" spans="1:5" ht="17.100000000000001" customHeight="1" x14ac:dyDescent="0.25">
      <c r="A18" s="1"/>
      <c r="B18" s="24" t="s">
        <v>23</v>
      </c>
      <c r="C18" s="9">
        <f>-'Fane 4.2. Gen. krav - anlæg'!G49</f>
        <v>0</v>
      </c>
      <c r="D18" s="8" t="s">
        <v>3</v>
      </c>
      <c r="E18" s="1"/>
    </row>
    <row r="19" spans="1:5" ht="17.100000000000001" customHeight="1" x14ac:dyDescent="0.25">
      <c r="A19" s="1"/>
      <c r="B19" s="74" t="s">
        <v>19</v>
      </c>
      <c r="C19" s="10">
        <f>SUM(C8:C18)</f>
        <v>16480100.612115478</v>
      </c>
      <c r="D19" s="11" t="s">
        <v>3</v>
      </c>
      <c r="E19" s="1"/>
    </row>
    <row r="20" spans="1:5" ht="15" customHeight="1" x14ac:dyDescent="0.25">
      <c r="A20" s="1"/>
      <c r="B20" s="53" t="s">
        <v>11</v>
      </c>
      <c r="C20" s="54"/>
      <c r="D20" s="19"/>
      <c r="E20" s="1"/>
    </row>
    <row r="21" spans="1:5" ht="15" customHeight="1" x14ac:dyDescent="0.25">
      <c r="A21" s="1"/>
      <c r="B21" s="55" t="s">
        <v>11</v>
      </c>
      <c r="C21" s="10">
        <f>'Fane 6. Ikke-påvirkelige omk.'!C20</f>
        <v>18168471.2803104</v>
      </c>
      <c r="D21" s="11" t="s">
        <v>3</v>
      </c>
      <c r="E21" s="1"/>
    </row>
    <row r="22" spans="1:5" ht="15" customHeight="1" x14ac:dyDescent="0.25">
      <c r="A22" s="1"/>
      <c r="B22" s="53" t="s">
        <v>75</v>
      </c>
      <c r="C22" s="54"/>
      <c r="D22" s="19"/>
      <c r="E22" s="1"/>
    </row>
    <row r="23" spans="1:5" ht="15" customHeight="1" x14ac:dyDescent="0.25">
      <c r="A23" s="1"/>
      <c r="B23" s="24" t="s">
        <v>71</v>
      </c>
      <c r="C23" s="9">
        <f>'Fane 10.2. Engangstillæg'!C13</f>
        <v>503968.07541247999</v>
      </c>
      <c r="D23" s="8" t="s">
        <v>3</v>
      </c>
      <c r="E23" s="1"/>
    </row>
    <row r="24" spans="1:5" ht="15" customHeight="1" x14ac:dyDescent="0.25">
      <c r="A24" s="1"/>
      <c r="B24" s="24" t="s">
        <v>72</v>
      </c>
      <c r="C24" s="9">
        <f>'Fane 10.2. Engangstillæg'!E13</f>
        <v>0</v>
      </c>
      <c r="D24" s="8" t="s">
        <v>3</v>
      </c>
      <c r="E24" s="1"/>
    </row>
    <row r="25" spans="1:5" ht="15" customHeight="1" x14ac:dyDescent="0.25">
      <c r="A25" s="1"/>
      <c r="B25" s="24" t="s">
        <v>164</v>
      </c>
      <c r="C25" s="9">
        <f>-C23*('Fane 13. Nøgletal'!C33+'Fane 5. Individuelt eff. krav'!G9)</f>
        <v>-10079.3615082496</v>
      </c>
      <c r="D25" s="8" t="s">
        <v>3</v>
      </c>
      <c r="E25" s="1"/>
    </row>
    <row r="26" spans="1:5" ht="15" customHeight="1" x14ac:dyDescent="0.25">
      <c r="A26" s="1"/>
      <c r="B26" s="24" t="s">
        <v>165</v>
      </c>
      <c r="C26" s="9">
        <f>-C24*('Fane 13. Nøgletal'!C28+'Fane 5. Individuelt eff. krav'!G9)</f>
        <v>0</v>
      </c>
      <c r="D26" s="8" t="s">
        <v>3</v>
      </c>
      <c r="E26" s="1"/>
    </row>
    <row r="27" spans="1:5" x14ac:dyDescent="0.25">
      <c r="A27" s="1"/>
      <c r="B27" s="74" t="s">
        <v>76</v>
      </c>
      <c r="C27" s="49">
        <f>SUM(C23:C26)</f>
        <v>493888.71390423039</v>
      </c>
      <c r="D27" s="11" t="s">
        <v>3</v>
      </c>
      <c r="E27" s="1"/>
    </row>
    <row r="28" spans="1:5" ht="15" customHeight="1" x14ac:dyDescent="0.25">
      <c r="A28" s="1"/>
      <c r="B28" s="26" t="s">
        <v>117</v>
      </c>
      <c r="C28" s="54"/>
      <c r="D28" s="19"/>
      <c r="E28" s="1"/>
    </row>
    <row r="29" spans="1:5" x14ac:dyDescent="0.25">
      <c r="A29" s="1"/>
      <c r="B29" s="73" t="s">
        <v>118</v>
      </c>
      <c r="C29" s="10">
        <f>'Fane 7. Kontrol af ØR2022'!E15</f>
        <v>-1145974</v>
      </c>
      <c r="D29" s="11" t="s">
        <v>3</v>
      </c>
      <c r="E29" s="1"/>
    </row>
    <row r="30" spans="1:5" x14ac:dyDescent="0.25">
      <c r="A30" s="1"/>
      <c r="B30" s="26" t="s">
        <v>138</v>
      </c>
      <c r="C30" s="54"/>
      <c r="D30" s="19"/>
      <c r="E30" s="1"/>
    </row>
    <row r="31" spans="1:5" x14ac:dyDescent="0.25">
      <c r="A31" s="1"/>
      <c r="B31" s="73" t="s">
        <v>139</v>
      </c>
      <c r="C31" s="10">
        <f>'Fane 8. Skattesagen'!G13</f>
        <v>0</v>
      </c>
      <c r="D31" s="11" t="s">
        <v>3</v>
      </c>
      <c r="E31" s="1"/>
    </row>
    <row r="32" spans="1:5" x14ac:dyDescent="0.25">
      <c r="A32" s="1"/>
      <c r="B32" s="53" t="s">
        <v>126</v>
      </c>
      <c r="C32" s="33">
        <f>SUM(C19,C21,C27,C29,C31)</f>
        <v>33996486.606330112</v>
      </c>
      <c r="D32" s="19" t="s">
        <v>3</v>
      </c>
      <c r="E32" s="1"/>
    </row>
    <row r="33" spans="1:5" x14ac:dyDescent="0.25">
      <c r="A33" s="1"/>
      <c r="B33" s="1" t="s">
        <v>168</v>
      </c>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wWpCAEkvcMuA3w8B56rjQJe7iYM5D2fP9GlTNeFA74w+LkaglWUC7ES1xs74c2ruIj8+OJ86vCzakjj/7UtKrw==" saltValue="RdLnU5bepxd0gkz9CSsr5w==" spinCount="100000" sheet="1" objects="1" scenarios="1"/>
  <mergeCells count="1">
    <mergeCell ref="B3:D4"/>
  </mergeCells>
  <pageMargins left="0.70866141732283472" right="0.7086614173228347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4"/>
  <dimension ref="A1:E50"/>
  <sheetViews>
    <sheetView showGridLines="0" view="pageLayout" zoomScaleNormal="100" workbookViewId="0"/>
  </sheetViews>
  <sheetFormatPr defaultColWidth="9.140625" defaultRowHeight="15" x14ac:dyDescent="0.25"/>
  <cols>
    <col min="1" max="1" width="5.140625" style="2" customWidth="1"/>
    <col min="2" max="2" width="62.42578125" style="2" customWidth="1"/>
    <col min="3" max="3" width="10.28515625" style="2" customWidth="1"/>
    <col min="4" max="4" width="3.28515625" style="2" customWidth="1"/>
    <col min="5" max="5" width="5.140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98" t="s">
        <v>199</v>
      </c>
      <c r="C3" s="98"/>
      <c r="D3" s="98"/>
      <c r="E3" s="1"/>
    </row>
    <row r="4" spans="1:5" ht="15" customHeight="1" x14ac:dyDescent="0.25">
      <c r="A4" s="1"/>
      <c r="B4" s="98"/>
      <c r="C4" s="98"/>
      <c r="D4" s="98"/>
      <c r="E4" s="1"/>
    </row>
    <row r="5" spans="1:5" x14ac:dyDescent="0.25">
      <c r="A5" s="1"/>
      <c r="B5" s="99" t="s">
        <v>20</v>
      </c>
      <c r="C5" s="99"/>
      <c r="D5" s="99"/>
      <c r="E5" s="1"/>
    </row>
    <row r="6" spans="1:5" x14ac:dyDescent="0.25">
      <c r="A6" s="1"/>
      <c r="B6" s="1"/>
      <c r="C6" s="1"/>
      <c r="D6" s="1"/>
      <c r="E6" s="1"/>
    </row>
    <row r="7" spans="1:5" x14ac:dyDescent="0.25">
      <c r="A7" s="1"/>
      <c r="B7" s="53" t="s">
        <v>12</v>
      </c>
      <c r="C7" s="54"/>
      <c r="D7" s="19"/>
      <c r="E7" s="1"/>
    </row>
    <row r="8" spans="1:5" ht="15" customHeight="1" x14ac:dyDescent="0.25">
      <c r="A8" s="1"/>
      <c r="B8" s="56" t="s">
        <v>127</v>
      </c>
      <c r="C8" s="7">
        <f>'Fane 2.1. Økonomisk ramme 2024'!C19</f>
        <v>16480100.612115478</v>
      </c>
      <c r="D8" s="8" t="s">
        <v>3</v>
      </c>
      <c r="E8" s="1"/>
    </row>
    <row r="9" spans="1:5" ht="15" customHeight="1" x14ac:dyDescent="0.25">
      <c r="A9" s="1"/>
      <c r="B9" s="29" t="s">
        <v>17</v>
      </c>
      <c r="C9" s="9">
        <f>SUM(C8:C8)*'Fane 13. Nøgletal'!C16</f>
        <v>1331592.1294589306</v>
      </c>
      <c r="D9" s="8" t="s">
        <v>3</v>
      </c>
      <c r="E9" s="1"/>
    </row>
    <row r="10" spans="1:5" ht="15" customHeight="1" x14ac:dyDescent="0.25">
      <c r="A10" s="1"/>
      <c r="B10" s="29" t="s">
        <v>9</v>
      </c>
      <c r="C10" s="9">
        <f>-SUM(C8:C9)*'Fane 5. Individuelt eff. krav'!G9</f>
        <v>0</v>
      </c>
      <c r="D10" s="8" t="s">
        <v>3</v>
      </c>
      <c r="E10" s="1"/>
    </row>
    <row r="11" spans="1:5" ht="15" customHeight="1" x14ac:dyDescent="0.25">
      <c r="A11" s="1"/>
      <c r="B11" s="29" t="s">
        <v>22</v>
      </c>
      <c r="C11" s="9">
        <f>-'Fane 4.1. Gen. krav - drift'!G54</f>
        <v>-195178.79625033122</v>
      </c>
      <c r="D11" s="8" t="s">
        <v>3</v>
      </c>
      <c r="E11" s="1"/>
    </row>
    <row r="12" spans="1:5" ht="15" customHeight="1" x14ac:dyDescent="0.25">
      <c r="A12" s="1"/>
      <c r="B12" s="29" t="s">
        <v>23</v>
      </c>
      <c r="C12" s="9">
        <f>-'Fane 4.2. Gen. krav - anlæg'!G54</f>
        <v>0</v>
      </c>
      <c r="D12" s="8" t="s">
        <v>3</v>
      </c>
      <c r="E12" s="1"/>
    </row>
    <row r="13" spans="1:5" ht="15" customHeight="1" x14ac:dyDescent="0.25">
      <c r="A13" s="1"/>
      <c r="B13" s="32" t="s">
        <v>19</v>
      </c>
      <c r="C13" s="10">
        <f>SUM(C8:C12)</f>
        <v>17616513.945324078</v>
      </c>
      <c r="D13" s="11" t="s">
        <v>3</v>
      </c>
      <c r="E13" s="1"/>
    </row>
    <row r="14" spans="1:5" x14ac:dyDescent="0.25">
      <c r="A14" s="1"/>
      <c r="B14" s="53" t="s">
        <v>11</v>
      </c>
      <c r="C14" s="54"/>
      <c r="D14" s="19"/>
      <c r="E14" s="1"/>
    </row>
    <row r="15" spans="1:5" ht="15" customHeight="1" x14ac:dyDescent="0.25">
      <c r="A15" s="1"/>
      <c r="B15" s="55" t="s">
        <v>11</v>
      </c>
      <c r="C15" s="10">
        <f>'Fane 6. Ikke-påvirkelige omk.'!C20*(1+'Fane 13. Nøgletal'!C16)</f>
        <v>19636483.759759478</v>
      </c>
      <c r="D15" s="11" t="s">
        <v>3</v>
      </c>
      <c r="E15" s="1"/>
    </row>
    <row r="16" spans="1:5" x14ac:dyDescent="0.25">
      <c r="A16" s="1"/>
      <c r="B16" s="26" t="s">
        <v>117</v>
      </c>
      <c r="C16" s="54"/>
      <c r="D16" s="19"/>
      <c r="E16" s="1"/>
    </row>
    <row r="17" spans="1:5" ht="15" customHeight="1" x14ac:dyDescent="0.25">
      <c r="A17" s="1"/>
      <c r="B17" s="73" t="s">
        <v>118</v>
      </c>
      <c r="C17" s="10">
        <f>'Fane 7. Kontrol af ØR2022'!E33</f>
        <v>-1148828</v>
      </c>
      <c r="D17" s="11" t="s">
        <v>3</v>
      </c>
      <c r="E17" s="1"/>
    </row>
    <row r="18" spans="1:5" x14ac:dyDescent="0.25">
      <c r="A18" s="1"/>
      <c r="B18" s="26" t="s">
        <v>138</v>
      </c>
      <c r="C18" s="54"/>
      <c r="D18" s="19"/>
      <c r="E18" s="1"/>
    </row>
    <row r="19" spans="1:5" x14ac:dyDescent="0.25">
      <c r="A19" s="1"/>
      <c r="B19" s="73" t="s">
        <v>139</v>
      </c>
      <c r="C19" s="10">
        <f>'Fane 8. Skattesagen'!G13</f>
        <v>0</v>
      </c>
      <c r="D19" s="11" t="s">
        <v>3</v>
      </c>
      <c r="E19" s="1"/>
    </row>
    <row r="20" spans="1:5" x14ac:dyDescent="0.25">
      <c r="A20" s="1"/>
      <c r="B20" s="53" t="s">
        <v>128</v>
      </c>
      <c r="C20" s="12">
        <f>SUM(C13,C15,C17,C19)</f>
        <v>36104169.705083556</v>
      </c>
      <c r="D20" s="13" t="s">
        <v>3</v>
      </c>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ubBZiKMHFS0pq3fphNpaB+1JYXyBnbx2SkuVjsK16ZqdYS04l59guNYx2rcpBw2xnCYe4XaNi1TC3oqeu8sBxQ==" saltValue="hXNDO6LwyVCBQGoRUgNDKQ=="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3"/>
  <dimension ref="A1:E50"/>
  <sheetViews>
    <sheetView showGridLines="0" view="pageLayout" zoomScaleNormal="100" workbookViewId="0"/>
  </sheetViews>
  <sheetFormatPr defaultColWidth="9.140625" defaultRowHeight="15" x14ac:dyDescent="0.25"/>
  <cols>
    <col min="1" max="1" width="5.140625" style="2" customWidth="1"/>
    <col min="2" max="2" width="63.28515625" style="2" customWidth="1"/>
    <col min="3" max="3" width="10.28515625" style="2" customWidth="1"/>
    <col min="4" max="4" width="3.28515625" style="2" customWidth="1"/>
    <col min="5" max="5" width="5.140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98" t="s">
        <v>200</v>
      </c>
      <c r="C3" s="98"/>
      <c r="D3" s="98"/>
      <c r="E3" s="1"/>
    </row>
    <row r="4" spans="1:5" ht="15" customHeight="1" x14ac:dyDescent="0.25">
      <c r="A4" s="1"/>
      <c r="B4" s="98"/>
      <c r="C4" s="98"/>
      <c r="D4" s="98"/>
      <c r="E4" s="1"/>
    </row>
    <row r="5" spans="1:5" x14ac:dyDescent="0.25">
      <c r="A5" s="1"/>
      <c r="B5" s="99" t="s">
        <v>20</v>
      </c>
      <c r="C5" s="99"/>
      <c r="D5" s="99"/>
      <c r="E5" s="1"/>
    </row>
    <row r="6" spans="1:5" x14ac:dyDescent="0.25">
      <c r="A6" s="1"/>
      <c r="B6" s="1"/>
      <c r="C6" s="1"/>
      <c r="D6" s="1"/>
      <c r="E6" s="1"/>
    </row>
    <row r="7" spans="1:5" x14ac:dyDescent="0.25">
      <c r="A7" s="1"/>
      <c r="B7" s="53" t="s">
        <v>12</v>
      </c>
      <c r="C7" s="54"/>
      <c r="D7" s="19"/>
      <c r="E7" s="1"/>
    </row>
    <row r="8" spans="1:5" ht="15" customHeight="1" x14ac:dyDescent="0.25">
      <c r="A8" s="1"/>
      <c r="B8" s="56" t="s">
        <v>142</v>
      </c>
      <c r="C8" s="7">
        <f>'Fane 2.2. Økonomisk ramme 2025'!C13</f>
        <v>17616513.945324078</v>
      </c>
      <c r="D8" s="8" t="s">
        <v>3</v>
      </c>
      <c r="E8" s="1"/>
    </row>
    <row r="9" spans="1:5" ht="15" customHeight="1" x14ac:dyDescent="0.25">
      <c r="A9" s="1"/>
      <c r="B9" s="29" t="s">
        <v>17</v>
      </c>
      <c r="C9" s="9">
        <f>SUM(C8:C8)*'Fane 13. Nøgletal'!C16</f>
        <v>1423414.3267821854</v>
      </c>
      <c r="D9" s="8" t="s">
        <v>3</v>
      </c>
      <c r="E9" s="1"/>
    </row>
    <row r="10" spans="1:5" ht="15" customHeight="1" x14ac:dyDescent="0.25">
      <c r="A10" s="1"/>
      <c r="B10" s="29" t="s">
        <v>9</v>
      </c>
      <c r="C10" s="9">
        <f>-SUM(C8:C9)*'Fane 5. Individuelt eff. krav'!G9</f>
        <v>0</v>
      </c>
      <c r="D10" s="8" t="s">
        <v>3</v>
      </c>
      <c r="E10" s="1"/>
    </row>
    <row r="11" spans="1:5" ht="15" customHeight="1" x14ac:dyDescent="0.25">
      <c r="A11" s="1"/>
      <c r="B11" s="29" t="s">
        <v>22</v>
      </c>
      <c r="C11" s="9">
        <f>-'Fane 4.1. Gen. krav - drift'!G59</f>
        <v>-206730.25812761084</v>
      </c>
      <c r="D11" s="8" t="s">
        <v>3</v>
      </c>
      <c r="E11" s="1"/>
    </row>
    <row r="12" spans="1:5" ht="15" customHeight="1" x14ac:dyDescent="0.25">
      <c r="A12" s="1"/>
      <c r="B12" s="29" t="s">
        <v>23</v>
      </c>
      <c r="C12" s="28">
        <f>-'Fane 4.2. Gen. krav - anlæg'!G59</f>
        <v>0</v>
      </c>
      <c r="D12" s="8" t="s">
        <v>3</v>
      </c>
      <c r="E12" s="1"/>
    </row>
    <row r="13" spans="1:5" x14ac:dyDescent="0.25">
      <c r="A13" s="1"/>
      <c r="B13" s="32" t="s">
        <v>19</v>
      </c>
      <c r="C13" s="10">
        <f>SUM(C8:C12)</f>
        <v>18833198.013978653</v>
      </c>
      <c r="D13" s="11" t="s">
        <v>3</v>
      </c>
      <c r="E13" s="1"/>
    </row>
    <row r="14" spans="1:5" x14ac:dyDescent="0.25">
      <c r="A14" s="1"/>
      <c r="B14" s="53" t="s">
        <v>11</v>
      </c>
      <c r="C14" s="54"/>
      <c r="D14" s="19"/>
      <c r="E14" s="1"/>
    </row>
    <row r="15" spans="1:5" ht="15" customHeight="1" x14ac:dyDescent="0.25">
      <c r="A15" s="1"/>
      <c r="B15" s="55" t="s">
        <v>11</v>
      </c>
      <c r="C15" s="10">
        <f>'Fane 6. Ikke-påvirkelige omk.'!C20*(1+'Fane 13. Nøgletal'!C16)^2</f>
        <v>21223111.647548046</v>
      </c>
      <c r="D15" s="11" t="s">
        <v>3</v>
      </c>
      <c r="E15" s="1"/>
    </row>
    <row r="16" spans="1:5" x14ac:dyDescent="0.25">
      <c r="A16" s="1"/>
      <c r="B16" s="53" t="s">
        <v>117</v>
      </c>
      <c r="C16" s="54"/>
      <c r="D16" s="19"/>
      <c r="E16" s="1"/>
    </row>
    <row r="17" spans="1:5" x14ac:dyDescent="0.25">
      <c r="A17" s="1"/>
      <c r="B17" s="55" t="s">
        <v>118</v>
      </c>
      <c r="C17" s="10">
        <f>'Fane 7. Kontrol af ØR2022'!E33</f>
        <v>-1148828</v>
      </c>
      <c r="D17" s="11" t="s">
        <v>3</v>
      </c>
      <c r="E17" s="1"/>
    </row>
    <row r="18" spans="1:5" ht="15" customHeight="1" x14ac:dyDescent="0.25">
      <c r="A18" s="1"/>
      <c r="B18" s="26" t="s">
        <v>138</v>
      </c>
      <c r="C18" s="54"/>
      <c r="D18" s="19"/>
      <c r="E18" s="1"/>
    </row>
    <row r="19" spans="1:5" ht="15" customHeight="1" x14ac:dyDescent="0.25">
      <c r="A19" s="1"/>
      <c r="B19" s="73" t="s">
        <v>139</v>
      </c>
      <c r="C19" s="10">
        <f>'Fane 8. Skattesagen'!G14</f>
        <v>0</v>
      </c>
      <c r="D19" s="11" t="s">
        <v>3</v>
      </c>
      <c r="E19" s="1"/>
    </row>
    <row r="20" spans="1:5" x14ac:dyDescent="0.25">
      <c r="A20" s="1"/>
      <c r="B20" s="53" t="s">
        <v>143</v>
      </c>
      <c r="C20" s="12">
        <f>SUM(C13,C15,C17,C19)</f>
        <v>38907481.661526695</v>
      </c>
      <c r="D20" s="13" t="s">
        <v>3</v>
      </c>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m4+kmUIEqvtT+5mHjNdNemeDN81q1eqZ/tNVoGAWnCDH0uoAc+lC75BiyuCIT6uTnsH2NKwALQlWJLOVtLt4uQ==" saltValue="JJUM94E4VaSnDCwp6KhuDQ=="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6"/>
  <dimension ref="A1:E50"/>
  <sheetViews>
    <sheetView showGridLines="0" view="pageLayout" zoomScaleNormal="100" workbookViewId="0"/>
  </sheetViews>
  <sheetFormatPr defaultColWidth="9.140625" defaultRowHeight="15" x14ac:dyDescent="0.25"/>
  <cols>
    <col min="1" max="1" width="5.140625" style="2" customWidth="1"/>
    <col min="2" max="2" width="63.140625" style="2" customWidth="1"/>
    <col min="3" max="3" width="10.28515625" style="2" customWidth="1"/>
    <col min="4" max="4" width="3.28515625" style="2" customWidth="1"/>
    <col min="5" max="5" width="5.140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98" t="s">
        <v>204</v>
      </c>
      <c r="C3" s="98"/>
      <c r="D3" s="98"/>
      <c r="E3" s="1"/>
    </row>
    <row r="4" spans="1:5" ht="15" customHeight="1" x14ac:dyDescent="0.25">
      <c r="A4" s="1"/>
      <c r="B4" s="98"/>
      <c r="C4" s="98"/>
      <c r="D4" s="98"/>
      <c r="E4" s="1"/>
    </row>
    <row r="5" spans="1:5" x14ac:dyDescent="0.25">
      <c r="A5" s="1"/>
      <c r="B5" s="99" t="s">
        <v>20</v>
      </c>
      <c r="C5" s="99"/>
      <c r="D5" s="99"/>
      <c r="E5" s="1"/>
    </row>
    <row r="6" spans="1:5" x14ac:dyDescent="0.25">
      <c r="A6" s="1"/>
      <c r="B6" s="1"/>
      <c r="C6" s="1"/>
      <c r="D6" s="1"/>
      <c r="E6" s="1"/>
    </row>
    <row r="7" spans="1:5" x14ac:dyDescent="0.25">
      <c r="A7" s="1"/>
      <c r="B7" s="53" t="s">
        <v>12</v>
      </c>
      <c r="C7" s="54"/>
      <c r="D7" s="19"/>
      <c r="E7" s="1"/>
    </row>
    <row r="8" spans="1:5" ht="15" customHeight="1" x14ac:dyDescent="0.25">
      <c r="A8" s="1"/>
      <c r="B8" s="56" t="s">
        <v>203</v>
      </c>
      <c r="C8" s="7">
        <f>'Fane 2.3. Økonomisk ramme 2026'!C13</f>
        <v>18833198.013978653</v>
      </c>
      <c r="D8" s="8" t="s">
        <v>3</v>
      </c>
      <c r="E8" s="1"/>
    </row>
    <row r="9" spans="1:5" ht="15" customHeight="1" x14ac:dyDescent="0.25">
      <c r="A9" s="1"/>
      <c r="B9" s="29" t="s">
        <v>17</v>
      </c>
      <c r="C9" s="9">
        <f>SUM(C8:C8)*'Fane 13. Nøgletal'!C16</f>
        <v>1521722.399529475</v>
      </c>
      <c r="D9" s="8" t="s">
        <v>3</v>
      </c>
      <c r="E9" s="1"/>
    </row>
    <row r="10" spans="1:5" ht="15" customHeight="1" x14ac:dyDescent="0.25">
      <c r="A10" s="1"/>
      <c r="B10" s="29" t="s">
        <v>9</v>
      </c>
      <c r="C10" s="9">
        <f>-SUM(C8:C9)*'Fane 5. Individuelt eff. krav'!G9</f>
        <v>0</v>
      </c>
      <c r="D10" s="8" t="s">
        <v>3</v>
      </c>
      <c r="E10" s="1"/>
    </row>
    <row r="11" spans="1:5" ht="15" customHeight="1" x14ac:dyDescent="0.25">
      <c r="A11" s="1"/>
      <c r="B11" s="29" t="s">
        <v>22</v>
      </c>
      <c r="C11" s="9">
        <f>-'Fane 4.1. Gen. krav - drift'!G64</f>
        <v>-218965.38172463534</v>
      </c>
      <c r="D11" s="8" t="s">
        <v>3</v>
      </c>
      <c r="E11" s="1"/>
    </row>
    <row r="12" spans="1:5" ht="15" customHeight="1" x14ac:dyDescent="0.25">
      <c r="A12" s="1"/>
      <c r="B12" s="29" t="s">
        <v>23</v>
      </c>
      <c r="C12" s="9">
        <f>-'Fane 4.2. Gen. krav - anlæg'!G64</f>
        <v>0</v>
      </c>
      <c r="D12" s="8" t="s">
        <v>3</v>
      </c>
      <c r="E12" s="1"/>
    </row>
    <row r="13" spans="1:5" x14ac:dyDescent="0.25">
      <c r="A13" s="1"/>
      <c r="B13" s="32" t="s">
        <v>19</v>
      </c>
      <c r="C13" s="10">
        <f>SUM(C8:C12)</f>
        <v>20135955.031783491</v>
      </c>
      <c r="D13" s="11" t="s">
        <v>3</v>
      </c>
      <c r="E13" s="1"/>
    </row>
    <row r="14" spans="1:5" x14ac:dyDescent="0.25">
      <c r="A14" s="1"/>
      <c r="B14" s="53" t="s">
        <v>11</v>
      </c>
      <c r="C14" s="54"/>
      <c r="D14" s="19"/>
      <c r="E14" s="1"/>
    </row>
    <row r="15" spans="1:5" ht="15" customHeight="1" x14ac:dyDescent="0.25">
      <c r="A15" s="1"/>
      <c r="B15" s="55" t="s">
        <v>11</v>
      </c>
      <c r="C15" s="10">
        <f>'Fane 6. Ikke-påvirkelige omk.'!C20*(1+'Fane 13. Nøgletal'!C16)^3</f>
        <v>22937939.068669926</v>
      </c>
      <c r="D15" s="11" t="s">
        <v>3</v>
      </c>
      <c r="E15" s="1"/>
    </row>
    <row r="16" spans="1:5" x14ac:dyDescent="0.25">
      <c r="A16" s="1"/>
      <c r="B16" s="53" t="s">
        <v>117</v>
      </c>
      <c r="C16" s="54"/>
      <c r="D16" s="19"/>
      <c r="E16" s="1"/>
    </row>
    <row r="17" spans="1:5" x14ac:dyDescent="0.25">
      <c r="A17" s="1"/>
      <c r="B17" s="55" t="s">
        <v>118</v>
      </c>
      <c r="C17" s="10">
        <v>0</v>
      </c>
      <c r="D17" s="11" t="s">
        <v>3</v>
      </c>
      <c r="E17" s="1"/>
    </row>
    <row r="18" spans="1:5" x14ac:dyDescent="0.25">
      <c r="A18" s="1"/>
      <c r="B18" s="26" t="s">
        <v>138</v>
      </c>
      <c r="C18" s="54"/>
      <c r="D18" s="19"/>
      <c r="E18" s="1"/>
    </row>
    <row r="19" spans="1:5" x14ac:dyDescent="0.25">
      <c r="A19" s="1"/>
      <c r="B19" s="73" t="s">
        <v>139</v>
      </c>
      <c r="C19" s="10">
        <f>'Fane 8. Skattesagen'!G15</f>
        <v>0</v>
      </c>
      <c r="D19" s="11" t="s">
        <v>3</v>
      </c>
      <c r="E19" s="1"/>
    </row>
    <row r="20" spans="1:5" x14ac:dyDescent="0.25">
      <c r="A20" s="1"/>
      <c r="B20" s="53" t="s">
        <v>205</v>
      </c>
      <c r="C20" s="12">
        <f>SUM(C13,C15,C17,C19)</f>
        <v>43073894.100453421</v>
      </c>
      <c r="D20" s="13" t="s">
        <v>3</v>
      </c>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hlq0ftyfXbuxapy2k2plbSdXXFIqPKU12HekIqS38EnNa/mgb/CjqV53izTjaTaYanSRAEqHTgMStPuKFt+B+g==" saltValue="2Z6A4k7St1v0ZU5m0iO9yA=="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7"/>
  <dimension ref="A1:E45"/>
  <sheetViews>
    <sheetView showGridLines="0" view="pageLayout" zoomScaleNormal="100" workbookViewId="0"/>
  </sheetViews>
  <sheetFormatPr defaultColWidth="9.140625" defaultRowHeight="15" x14ac:dyDescent="0.25"/>
  <cols>
    <col min="1" max="1" width="6.5703125" style="2" customWidth="1"/>
    <col min="2" max="2" width="56.7109375" style="2" customWidth="1"/>
    <col min="3" max="3" width="12.7109375" style="2" bestFit="1" customWidth="1"/>
    <col min="4" max="4" width="3" style="2" customWidth="1"/>
    <col min="5" max="5" width="6.28515625" style="2" customWidth="1"/>
    <col min="6" max="16384" width="9.140625" style="2"/>
  </cols>
  <sheetData>
    <row r="1" spans="1:5" x14ac:dyDescent="0.25">
      <c r="A1" s="1"/>
      <c r="B1" s="1"/>
      <c r="C1" s="1"/>
      <c r="D1" s="1"/>
      <c r="E1" s="1"/>
    </row>
    <row r="2" spans="1:5" x14ac:dyDescent="0.25">
      <c r="A2" s="1"/>
      <c r="B2" s="1"/>
      <c r="C2" s="1"/>
      <c r="D2" s="1"/>
      <c r="E2" s="1"/>
    </row>
    <row r="3" spans="1:5" ht="24.95" customHeight="1" x14ac:dyDescent="0.25">
      <c r="A3" s="1"/>
      <c r="B3" s="101" t="s">
        <v>201</v>
      </c>
      <c r="C3" s="101"/>
      <c r="D3" s="101"/>
      <c r="E3" s="1"/>
    </row>
    <row r="4" spans="1:5" x14ac:dyDescent="0.25">
      <c r="A4" s="1"/>
      <c r="B4" s="101"/>
      <c r="C4" s="101"/>
      <c r="D4" s="101"/>
      <c r="E4" s="1"/>
    </row>
    <row r="5" spans="1:5" x14ac:dyDescent="0.25">
      <c r="A5" s="1"/>
      <c r="B5" s="1"/>
      <c r="C5" s="1"/>
      <c r="D5" s="1"/>
      <c r="E5" s="1"/>
    </row>
    <row r="6" spans="1:5" x14ac:dyDescent="0.25">
      <c r="A6" s="1"/>
      <c r="B6" s="1"/>
      <c r="C6" s="1"/>
      <c r="D6" s="1"/>
      <c r="E6" s="1"/>
    </row>
    <row r="7" spans="1:5" x14ac:dyDescent="0.25">
      <c r="A7" s="1"/>
      <c r="B7" s="53" t="s">
        <v>202</v>
      </c>
      <c r="C7" s="54"/>
      <c r="D7" s="19"/>
      <c r="E7" s="1"/>
    </row>
    <row r="8" spans="1:5" x14ac:dyDescent="0.25">
      <c r="A8" s="1"/>
      <c r="B8" s="56" t="s">
        <v>108</v>
      </c>
      <c r="C8" s="7">
        <v>13587231.320625715</v>
      </c>
      <c r="D8" s="8" t="s">
        <v>3</v>
      </c>
      <c r="E8" s="1"/>
    </row>
    <row r="9" spans="1:5" x14ac:dyDescent="0.25">
      <c r="A9" s="1"/>
      <c r="B9" s="24" t="s">
        <v>33</v>
      </c>
      <c r="C9" s="7">
        <v>143902.83360000001</v>
      </c>
      <c r="D9" s="8" t="s">
        <v>3</v>
      </c>
      <c r="E9" s="1"/>
    </row>
    <row r="10" spans="1:5" x14ac:dyDescent="0.25">
      <c r="A10" s="1"/>
      <c r="B10" s="24" t="s">
        <v>34</v>
      </c>
      <c r="C10" s="9">
        <v>1829045.6520000002</v>
      </c>
      <c r="D10" s="8" t="s">
        <v>3</v>
      </c>
      <c r="E10" s="1"/>
    </row>
    <row r="11" spans="1:5" x14ac:dyDescent="0.25">
      <c r="A11" s="1"/>
      <c r="B11" s="24" t="s">
        <v>25</v>
      </c>
      <c r="C11" s="9">
        <v>0</v>
      </c>
      <c r="D11" s="8" t="s">
        <v>3</v>
      </c>
      <c r="E11" s="1"/>
    </row>
    <row r="12" spans="1:5" x14ac:dyDescent="0.25">
      <c r="A12" s="1"/>
      <c r="B12" s="24" t="s">
        <v>24</v>
      </c>
      <c r="C12" s="9">
        <v>0</v>
      </c>
      <c r="D12" s="8" t="s">
        <v>3</v>
      </c>
      <c r="E12" s="1"/>
    </row>
    <row r="13" spans="1:5" x14ac:dyDescent="0.25">
      <c r="A13" s="1"/>
      <c r="B13" s="24" t="s">
        <v>106</v>
      </c>
      <c r="C13" s="9">
        <v>0</v>
      </c>
      <c r="D13" s="8" t="s">
        <v>3</v>
      </c>
      <c r="E13" s="1"/>
    </row>
    <row r="14" spans="1:5" x14ac:dyDescent="0.25">
      <c r="A14" s="1"/>
      <c r="B14" s="24" t="s">
        <v>107</v>
      </c>
      <c r="C14" s="9">
        <v>0</v>
      </c>
      <c r="D14" s="8" t="s">
        <v>3</v>
      </c>
      <c r="E14" s="1"/>
    </row>
    <row r="15" spans="1:5" x14ac:dyDescent="0.25">
      <c r="A15" s="1"/>
      <c r="B15" s="24" t="s">
        <v>17</v>
      </c>
      <c r="C15" s="9">
        <v>553942.40110163542</v>
      </c>
      <c r="D15" s="8" t="s">
        <v>3</v>
      </c>
      <c r="E15" s="1"/>
    </row>
    <row r="16" spans="1:5" x14ac:dyDescent="0.25">
      <c r="A16" s="1"/>
      <c r="B16" s="24" t="s">
        <v>9</v>
      </c>
      <c r="C16" s="9">
        <v>0</v>
      </c>
      <c r="D16" s="8" t="s">
        <v>3</v>
      </c>
      <c r="E16" s="1"/>
    </row>
    <row r="17" spans="1:5" x14ac:dyDescent="0.25">
      <c r="A17" s="1"/>
      <c r="B17" s="24" t="s">
        <v>22</v>
      </c>
      <c r="C17" s="9">
        <v>-181067.75432911899</v>
      </c>
      <c r="D17" s="8" t="s">
        <v>3</v>
      </c>
      <c r="E17" s="1"/>
    </row>
    <row r="18" spans="1:5" x14ac:dyDescent="0.25">
      <c r="A18" s="1"/>
      <c r="B18" s="24" t="s">
        <v>23</v>
      </c>
      <c r="C18" s="9">
        <v>0</v>
      </c>
      <c r="D18" s="8" t="s">
        <v>3</v>
      </c>
      <c r="E18" s="1"/>
    </row>
    <row r="19" spans="1:5" x14ac:dyDescent="0.25">
      <c r="A19" s="1"/>
      <c r="B19" s="74" t="s">
        <v>19</v>
      </c>
      <c r="C19" s="10">
        <v>15933054.452998232</v>
      </c>
      <c r="D19" s="11" t="s">
        <v>3</v>
      </c>
      <c r="E19" s="1"/>
    </row>
    <row r="20" spans="1:5" x14ac:dyDescent="0.25">
      <c r="A20" s="1"/>
      <c r="B20" s="53" t="s">
        <v>11</v>
      </c>
      <c r="C20" s="54"/>
      <c r="D20" s="19"/>
      <c r="E20" s="1"/>
    </row>
    <row r="21" spans="1:5" x14ac:dyDescent="0.25">
      <c r="A21" s="1"/>
      <c r="B21" s="55" t="s">
        <v>11</v>
      </c>
      <c r="C21" s="10">
        <v>13891478.814889921</v>
      </c>
      <c r="D21" s="11" t="s">
        <v>3</v>
      </c>
      <c r="E21" s="1"/>
    </row>
    <row r="22" spans="1:5" x14ac:dyDescent="0.25">
      <c r="A22" s="1"/>
      <c r="B22" s="53" t="s">
        <v>75</v>
      </c>
      <c r="C22" s="54"/>
      <c r="D22" s="19"/>
      <c r="E22" s="1"/>
    </row>
    <row r="23" spans="1:5" x14ac:dyDescent="0.25">
      <c r="A23" s="1"/>
      <c r="B23" s="24" t="s">
        <v>71</v>
      </c>
      <c r="C23" s="9">
        <v>164537.94237120001</v>
      </c>
      <c r="D23" s="8" t="s">
        <v>3</v>
      </c>
      <c r="E23" s="1"/>
    </row>
    <row r="24" spans="1:5" x14ac:dyDescent="0.25">
      <c r="A24" s="1"/>
      <c r="B24" s="24" t="s">
        <v>72</v>
      </c>
      <c r="C24" s="9">
        <v>0</v>
      </c>
      <c r="D24" s="8" t="s">
        <v>3</v>
      </c>
      <c r="E24" s="1"/>
    </row>
    <row r="25" spans="1:5" x14ac:dyDescent="0.25">
      <c r="A25" s="1"/>
      <c r="B25" s="24" t="s">
        <v>164</v>
      </c>
      <c r="C25" s="9">
        <v>-3290.7588474240001</v>
      </c>
      <c r="D25" s="8" t="s">
        <v>3</v>
      </c>
      <c r="E25" s="1"/>
    </row>
    <row r="26" spans="1:5" x14ac:dyDescent="0.25">
      <c r="A26" s="1"/>
      <c r="B26" s="24" t="s">
        <v>165</v>
      </c>
      <c r="C26" s="9">
        <v>0</v>
      </c>
      <c r="D26" s="8" t="s">
        <v>3</v>
      </c>
      <c r="E26" s="1"/>
    </row>
    <row r="27" spans="1:5" x14ac:dyDescent="0.25">
      <c r="A27" s="1"/>
      <c r="B27" s="74" t="s">
        <v>76</v>
      </c>
      <c r="C27" s="58">
        <v>161247.18352377601</v>
      </c>
      <c r="D27" s="11" t="s">
        <v>3</v>
      </c>
      <c r="E27" s="1"/>
    </row>
    <row r="28" spans="1:5" x14ac:dyDescent="0.25">
      <c r="A28" s="1"/>
      <c r="B28" s="26" t="s">
        <v>117</v>
      </c>
      <c r="C28" s="54"/>
      <c r="D28" s="19"/>
      <c r="E28" s="1"/>
    </row>
    <row r="29" spans="1:5" x14ac:dyDescent="0.25">
      <c r="A29" s="1"/>
      <c r="B29" s="73" t="s">
        <v>118</v>
      </c>
      <c r="C29" s="10">
        <v>-1145973.6948311217</v>
      </c>
      <c r="D29" s="11" t="s">
        <v>3</v>
      </c>
      <c r="E29" s="1"/>
    </row>
    <row r="30" spans="1:5" x14ac:dyDescent="0.25">
      <c r="A30" s="1"/>
      <c r="B30" s="26" t="s">
        <v>138</v>
      </c>
      <c r="C30" s="54"/>
      <c r="D30" s="19"/>
      <c r="E30" s="1"/>
    </row>
    <row r="31" spans="1:5" x14ac:dyDescent="0.25">
      <c r="A31" s="1"/>
      <c r="B31" s="73" t="s">
        <v>139</v>
      </c>
      <c r="C31" s="10">
        <v>0</v>
      </c>
      <c r="D31" s="11" t="s">
        <v>3</v>
      </c>
      <c r="E31" s="1"/>
    </row>
    <row r="32" spans="1:5" x14ac:dyDescent="0.25">
      <c r="A32" s="1"/>
      <c r="B32" s="53" t="s">
        <v>239</v>
      </c>
      <c r="C32" s="33">
        <v>28839806.756580804</v>
      </c>
      <c r="D32" s="19" t="s">
        <v>3</v>
      </c>
      <c r="E32" s="1"/>
    </row>
    <row r="33" spans="1:5" ht="30" customHeight="1" x14ac:dyDescent="0.25">
      <c r="A33" s="1"/>
      <c r="B33" s="100" t="s">
        <v>240</v>
      </c>
      <c r="C33" s="100"/>
      <c r="D33" s="100"/>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sheetData>
  <sheetProtection algorithmName="SHA-512" hashValue="v2NoRpUcotW9bc/zo9JA2v7tC4SGVs8M5sfIBAqk81WCWGvedWHTgEiYr9QoaMzYy8guk1jrY17ThNYc9b1uDA==" saltValue="Hhe1ZyhZhRVHDhiSkt4k9A==" spinCount="100000" sheet="1" objects="1" scenarios="1"/>
  <mergeCells count="2">
    <mergeCell ref="B33:D33"/>
    <mergeCell ref="B3:D4"/>
  </mergeCells>
  <pageMargins left="0.70866141732283461" right="0.70866141732283461" top="0.74803149606299213" bottom="0.74803149606299213"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8"/>
  <dimension ref="A1:I100"/>
  <sheetViews>
    <sheetView showGridLines="0" view="pageLayout" zoomScaleNormal="100" workbookViewId="0"/>
  </sheetViews>
  <sheetFormatPr defaultColWidth="9.140625" defaultRowHeight="15" x14ac:dyDescent="0.25"/>
  <cols>
    <col min="1" max="1" width="5.28515625" style="2" customWidth="1"/>
    <col min="2" max="5" width="9.140625" style="2"/>
    <col min="6" max="6" width="20.140625" style="2" customWidth="1"/>
    <col min="7" max="7" width="13.42578125" style="37" customWidth="1"/>
    <col min="8" max="8" width="3.7109375" style="2" customWidth="1"/>
    <col min="9" max="9" width="5.28515625" style="2" customWidth="1"/>
    <col min="10" max="16384" width="9.140625" style="2"/>
  </cols>
  <sheetData>
    <row r="1" spans="1:9" ht="15" customHeight="1" x14ac:dyDescent="0.25">
      <c r="A1" s="1"/>
      <c r="B1" s="101" t="s">
        <v>90</v>
      </c>
      <c r="C1" s="101"/>
      <c r="D1" s="101"/>
      <c r="E1" s="101"/>
      <c r="F1" s="101"/>
      <c r="G1" s="101"/>
      <c r="H1" s="101"/>
      <c r="I1" s="1"/>
    </row>
    <row r="2" spans="1:9" ht="15" customHeight="1" x14ac:dyDescent="0.25">
      <c r="A2" s="1"/>
      <c r="B2" s="101"/>
      <c r="C2" s="101"/>
      <c r="D2" s="101"/>
      <c r="E2" s="101"/>
      <c r="F2" s="101"/>
      <c r="G2" s="101"/>
      <c r="H2" s="101"/>
      <c r="I2" s="1"/>
    </row>
    <row r="3" spans="1:9" ht="15" customHeight="1" x14ac:dyDescent="0.25">
      <c r="A3" s="1"/>
      <c r="B3" s="101"/>
      <c r="C3" s="101"/>
      <c r="D3" s="101"/>
      <c r="E3" s="101"/>
      <c r="F3" s="101"/>
      <c r="G3" s="101"/>
      <c r="H3" s="101"/>
      <c r="I3" s="1"/>
    </row>
    <row r="4" spans="1:9" x14ac:dyDescent="0.25">
      <c r="A4" s="1"/>
      <c r="B4" s="102" t="s">
        <v>44</v>
      </c>
      <c r="C4" s="103"/>
      <c r="D4" s="103"/>
      <c r="E4" s="103"/>
      <c r="F4" s="103"/>
      <c r="G4" s="103"/>
      <c r="H4" s="104"/>
      <c r="I4" s="1"/>
    </row>
    <row r="5" spans="1:9" x14ac:dyDescent="0.25">
      <c r="A5" s="1"/>
      <c r="B5" s="105" t="s">
        <v>36</v>
      </c>
      <c r="C5" s="106"/>
      <c r="D5" s="106"/>
      <c r="E5" s="106"/>
      <c r="F5" s="107"/>
      <c r="G5" s="47">
        <v>9043034.6916074939</v>
      </c>
      <c r="H5" s="14" t="s">
        <v>3</v>
      </c>
      <c r="I5" s="1"/>
    </row>
    <row r="6" spans="1:9" x14ac:dyDescent="0.25">
      <c r="A6" s="1"/>
      <c r="B6" s="105" t="s">
        <v>37</v>
      </c>
      <c r="C6" s="106"/>
      <c r="D6" s="106"/>
      <c r="E6" s="106"/>
      <c r="F6" s="107"/>
      <c r="G6" s="22">
        <f>G5*'Fane 13. Nøgletal'!C33</f>
        <v>180860.69383214987</v>
      </c>
      <c r="H6" s="14" t="s">
        <v>3</v>
      </c>
      <c r="I6" s="1"/>
    </row>
    <row r="7" spans="1:9" x14ac:dyDescent="0.25">
      <c r="A7" s="1"/>
      <c r="B7" s="53"/>
      <c r="C7" s="54"/>
      <c r="D7" s="54"/>
      <c r="E7" s="54"/>
      <c r="F7" s="54"/>
      <c r="G7" s="35"/>
      <c r="H7" s="19"/>
      <c r="I7" s="1"/>
    </row>
    <row r="8" spans="1:9" x14ac:dyDescent="0.25">
      <c r="A8" s="1"/>
      <c r="B8" s="1"/>
      <c r="C8" s="1"/>
      <c r="D8" s="1"/>
      <c r="E8" s="1"/>
      <c r="F8" s="1"/>
      <c r="G8" s="36"/>
      <c r="H8" s="1"/>
      <c r="I8" s="1"/>
    </row>
    <row r="9" spans="1:9" x14ac:dyDescent="0.25">
      <c r="A9" s="1"/>
      <c r="B9" s="102" t="s">
        <v>45</v>
      </c>
      <c r="C9" s="103"/>
      <c r="D9" s="103"/>
      <c r="E9" s="103"/>
      <c r="F9" s="103"/>
      <c r="G9" s="103"/>
      <c r="H9" s="104"/>
      <c r="I9" s="1"/>
    </row>
    <row r="10" spans="1:9" x14ac:dyDescent="0.25">
      <c r="A10" s="1"/>
      <c r="B10" s="105" t="s">
        <v>38</v>
      </c>
      <c r="C10" s="106"/>
      <c r="D10" s="106"/>
      <c r="E10" s="106"/>
      <c r="F10" s="107"/>
      <c r="G10" s="22">
        <f>(G5-G6)*(1+'Fane 13. Nøgletal'!C9)</f>
        <v>8974723.6075470913</v>
      </c>
      <c r="H10" s="14" t="s">
        <v>3</v>
      </c>
      <c r="I10" s="1"/>
    </row>
    <row r="11" spans="1:9" x14ac:dyDescent="0.25">
      <c r="A11" s="1"/>
      <c r="B11" s="108" t="s">
        <v>228</v>
      </c>
      <c r="C11" s="109"/>
      <c r="D11" s="109"/>
      <c r="E11" s="109"/>
      <c r="F11" s="110"/>
      <c r="G11" s="47">
        <v>0</v>
      </c>
      <c r="H11" s="14" t="s">
        <v>3</v>
      </c>
      <c r="I11" s="1"/>
    </row>
    <row r="12" spans="1:9" x14ac:dyDescent="0.25">
      <c r="A12" s="1"/>
      <c r="B12" s="105" t="s">
        <v>39</v>
      </c>
      <c r="C12" s="106"/>
      <c r="D12" s="106"/>
      <c r="E12" s="106"/>
      <c r="F12" s="107"/>
      <c r="G12" s="22">
        <f>(G10+G11)*'Fane 13. Nøgletal'!C33</f>
        <v>179494.47215094182</v>
      </c>
      <c r="H12" s="14" t="s">
        <v>3</v>
      </c>
      <c r="I12" s="1"/>
    </row>
    <row r="13" spans="1:9" x14ac:dyDescent="0.25">
      <c r="A13" s="1"/>
      <c r="B13" s="53"/>
      <c r="C13" s="54"/>
      <c r="D13" s="54"/>
      <c r="E13" s="54"/>
      <c r="F13" s="54"/>
      <c r="G13" s="35"/>
      <c r="H13" s="19"/>
      <c r="I13" s="1"/>
    </row>
    <row r="14" spans="1:9" x14ac:dyDescent="0.25">
      <c r="A14" s="1"/>
      <c r="B14" s="1"/>
      <c r="C14" s="1"/>
      <c r="D14" s="1"/>
      <c r="E14" s="1"/>
      <c r="F14" s="1"/>
      <c r="G14" s="36"/>
      <c r="H14" s="1"/>
      <c r="I14" s="1"/>
    </row>
    <row r="15" spans="1:9" x14ac:dyDescent="0.25">
      <c r="A15" s="1"/>
      <c r="B15" s="102" t="s">
        <v>46</v>
      </c>
      <c r="C15" s="103"/>
      <c r="D15" s="103"/>
      <c r="E15" s="103"/>
      <c r="F15" s="103"/>
      <c r="G15" s="103"/>
      <c r="H15" s="104"/>
      <c r="I15" s="1"/>
    </row>
    <row r="16" spans="1:9" x14ac:dyDescent="0.25">
      <c r="A16" s="1"/>
      <c r="B16" s="105" t="s">
        <v>40</v>
      </c>
      <c r="C16" s="106"/>
      <c r="D16" s="106"/>
      <c r="E16" s="106"/>
      <c r="F16" s="107"/>
      <c r="G16" s="22">
        <f>(G10+G11-G12)*(1+'Fane 13. Nøgletal'!C11)</f>
        <v>8943868.5077843424</v>
      </c>
      <c r="H16" s="14" t="s">
        <v>3</v>
      </c>
      <c r="I16" s="1"/>
    </row>
    <row r="17" spans="1:9" x14ac:dyDescent="0.25">
      <c r="A17" s="1"/>
      <c r="B17" s="105" t="s">
        <v>100</v>
      </c>
      <c r="C17" s="106"/>
      <c r="D17" s="106"/>
      <c r="E17" s="106"/>
      <c r="F17" s="107"/>
      <c r="G17" s="47">
        <v>0</v>
      </c>
      <c r="H17" s="14" t="s">
        <v>3</v>
      </c>
      <c r="I17" s="1"/>
    </row>
    <row r="18" spans="1:9" x14ac:dyDescent="0.25">
      <c r="A18" s="1"/>
      <c r="B18" s="108" t="s">
        <v>229</v>
      </c>
      <c r="C18" s="109"/>
      <c r="D18" s="109"/>
      <c r="E18" s="109"/>
      <c r="F18" s="110"/>
      <c r="G18" s="47">
        <v>0</v>
      </c>
      <c r="H18" s="14" t="s">
        <v>3</v>
      </c>
      <c r="I18" s="1"/>
    </row>
    <row r="19" spans="1:9" x14ac:dyDescent="0.25">
      <c r="A19" s="1"/>
      <c r="B19" s="105" t="s">
        <v>41</v>
      </c>
      <c r="C19" s="106"/>
      <c r="D19" s="106"/>
      <c r="E19" s="106"/>
      <c r="F19" s="107"/>
      <c r="G19" s="22">
        <f>SUM(G16:G18)*'Fane 13. Nøgletal'!C33</f>
        <v>178877.37015568686</v>
      </c>
      <c r="H19" s="14" t="s">
        <v>3</v>
      </c>
      <c r="I19" s="1"/>
    </row>
    <row r="20" spans="1:9" x14ac:dyDescent="0.25">
      <c r="A20" s="1"/>
      <c r="B20" s="53"/>
      <c r="C20" s="54"/>
      <c r="D20" s="54"/>
      <c r="E20" s="54"/>
      <c r="F20" s="54"/>
      <c r="G20" s="35"/>
      <c r="H20" s="19"/>
      <c r="I20" s="1"/>
    </row>
    <row r="21" spans="1:9" x14ac:dyDescent="0.25">
      <c r="A21" s="1"/>
      <c r="B21" s="1"/>
      <c r="C21" s="1"/>
      <c r="D21" s="1"/>
      <c r="E21" s="1"/>
      <c r="F21" s="1"/>
      <c r="G21" s="36"/>
      <c r="H21" s="1"/>
      <c r="I21" s="1"/>
    </row>
    <row r="22" spans="1:9" x14ac:dyDescent="0.25">
      <c r="A22" s="1"/>
      <c r="B22" s="102" t="s">
        <v>47</v>
      </c>
      <c r="C22" s="103"/>
      <c r="D22" s="103"/>
      <c r="E22" s="103"/>
      <c r="F22" s="103"/>
      <c r="G22" s="103"/>
      <c r="H22" s="104"/>
      <c r="I22" s="1"/>
    </row>
    <row r="23" spans="1:9" x14ac:dyDescent="0.25">
      <c r="A23" s="1"/>
      <c r="B23" s="105" t="s">
        <v>42</v>
      </c>
      <c r="C23" s="106"/>
      <c r="D23" s="106"/>
      <c r="E23" s="106"/>
      <c r="F23" s="107"/>
      <c r="G23" s="22">
        <f>(SUM(G16:G18)-G19)*(1+'Fane 13. Nøgletal'!C11)</f>
        <v>8913119.4878545795</v>
      </c>
      <c r="H23" s="14" t="s">
        <v>3</v>
      </c>
      <c r="I23" s="1"/>
    </row>
    <row r="24" spans="1:9" x14ac:dyDescent="0.25">
      <c r="A24" s="1"/>
      <c r="B24" s="108" t="s">
        <v>230</v>
      </c>
      <c r="C24" s="109"/>
      <c r="D24" s="109"/>
      <c r="E24" s="109"/>
      <c r="F24" s="110"/>
      <c r="G24" s="47">
        <v>0</v>
      </c>
      <c r="H24" s="14" t="s">
        <v>3</v>
      </c>
      <c r="I24" s="1"/>
    </row>
    <row r="25" spans="1:9" x14ac:dyDescent="0.25">
      <c r="A25" s="1"/>
      <c r="B25" s="105" t="s">
        <v>43</v>
      </c>
      <c r="C25" s="106"/>
      <c r="D25" s="106"/>
      <c r="E25" s="106"/>
      <c r="F25" s="107"/>
      <c r="G25" s="22">
        <f>(G23+G24)*'Fane 13. Nøgletal'!C33</f>
        <v>178262.38975709159</v>
      </c>
      <c r="H25" s="14" t="s">
        <v>3</v>
      </c>
      <c r="I25" s="1"/>
    </row>
    <row r="26" spans="1:9" x14ac:dyDescent="0.25">
      <c r="A26" s="1"/>
      <c r="B26" s="53"/>
      <c r="C26" s="54"/>
      <c r="D26" s="54"/>
      <c r="E26" s="54"/>
      <c r="F26" s="54"/>
      <c r="G26" s="35"/>
      <c r="H26" s="19"/>
      <c r="I26" s="1"/>
    </row>
    <row r="27" spans="1:9" x14ac:dyDescent="0.25">
      <c r="A27" s="1"/>
      <c r="B27" s="1"/>
      <c r="C27" s="1"/>
      <c r="D27" s="1"/>
      <c r="E27" s="1"/>
      <c r="F27" s="1"/>
      <c r="G27" s="36"/>
      <c r="H27" s="1"/>
      <c r="I27" s="1"/>
    </row>
    <row r="28" spans="1:9" x14ac:dyDescent="0.25">
      <c r="A28" s="1"/>
      <c r="B28" s="102" t="s">
        <v>121</v>
      </c>
      <c r="C28" s="103"/>
      <c r="D28" s="103"/>
      <c r="E28" s="103"/>
      <c r="F28" s="103"/>
      <c r="G28" s="103"/>
      <c r="H28" s="104"/>
      <c r="I28" s="1"/>
    </row>
    <row r="29" spans="1:9" x14ac:dyDescent="0.25">
      <c r="A29" s="1"/>
      <c r="B29" s="105" t="s">
        <v>50</v>
      </c>
      <c r="C29" s="106"/>
      <c r="D29" s="106"/>
      <c r="E29" s="106"/>
      <c r="F29" s="107"/>
      <c r="G29" s="22">
        <f>(G23+G24-G25)*(1+'Fane 13. Nøgletal'!C13)</f>
        <v>8841422.354694277</v>
      </c>
      <c r="H29" s="14" t="s">
        <v>3</v>
      </c>
      <c r="I29" s="1"/>
    </row>
    <row r="30" spans="1:9" x14ac:dyDescent="0.25">
      <c r="A30" s="1"/>
      <c r="B30" s="105" t="s">
        <v>231</v>
      </c>
      <c r="C30" s="106"/>
      <c r="D30" s="106"/>
      <c r="E30" s="106"/>
      <c r="F30" s="107"/>
      <c r="G30" s="47">
        <v>0</v>
      </c>
      <c r="H30" s="14" t="s">
        <v>3</v>
      </c>
      <c r="I30" s="1"/>
    </row>
    <row r="31" spans="1:9" x14ac:dyDescent="0.25">
      <c r="A31" s="1"/>
      <c r="B31" s="105" t="s">
        <v>115</v>
      </c>
      <c r="C31" s="106"/>
      <c r="D31" s="106"/>
      <c r="E31" s="106"/>
      <c r="F31" s="107"/>
      <c r="G31" s="22">
        <f>(G29+G30)*'Fane 13. Nøgletal'!C33</f>
        <v>176828.44709388554</v>
      </c>
      <c r="H31" s="14" t="s">
        <v>3</v>
      </c>
      <c r="I31" s="1"/>
    </row>
    <row r="32" spans="1:9" x14ac:dyDescent="0.25">
      <c r="A32" s="1"/>
      <c r="B32" s="53"/>
      <c r="C32" s="54"/>
      <c r="D32" s="54"/>
      <c r="E32" s="54"/>
      <c r="F32" s="54"/>
      <c r="G32" s="35"/>
      <c r="H32" s="19"/>
      <c r="I32" s="1"/>
    </row>
    <row r="33" spans="1:9" x14ac:dyDescent="0.25">
      <c r="A33" s="1"/>
      <c r="B33" s="1"/>
      <c r="C33" s="1"/>
      <c r="D33" s="1"/>
      <c r="E33" s="1"/>
      <c r="F33" s="1"/>
      <c r="G33" s="36"/>
      <c r="H33" s="1"/>
      <c r="I33" s="1"/>
    </row>
    <row r="34" spans="1:9" x14ac:dyDescent="0.25">
      <c r="A34" s="1"/>
      <c r="B34" s="102" t="s">
        <v>122</v>
      </c>
      <c r="C34" s="103"/>
      <c r="D34" s="103"/>
      <c r="E34" s="103"/>
      <c r="F34" s="103"/>
      <c r="G34" s="103"/>
      <c r="H34" s="104"/>
      <c r="I34" s="1"/>
    </row>
    <row r="35" spans="1:9" x14ac:dyDescent="0.25">
      <c r="A35" s="1"/>
      <c r="B35" s="105" t="s">
        <v>69</v>
      </c>
      <c r="C35" s="106"/>
      <c r="D35" s="106"/>
      <c r="E35" s="106"/>
      <c r="F35" s="107"/>
      <c r="G35" s="22">
        <f>(G29+G30-G31)*(1+'Fane 13. Nøgletal'!C13)</f>
        <v>8770301.9532731157</v>
      </c>
      <c r="H35" s="14" t="s">
        <v>3</v>
      </c>
      <c r="I35" s="1"/>
    </row>
    <row r="36" spans="1:9" x14ac:dyDescent="0.25">
      <c r="A36" s="1"/>
      <c r="B36" s="105" t="s">
        <v>232</v>
      </c>
      <c r="C36" s="106"/>
      <c r="D36" s="106"/>
      <c r="E36" s="106"/>
      <c r="F36" s="107"/>
      <c r="G36" s="47">
        <v>3436.5695784600007</v>
      </c>
      <c r="H36" s="14" t="s">
        <v>3</v>
      </c>
      <c r="I36" s="1"/>
    </row>
    <row r="37" spans="1:9" x14ac:dyDescent="0.25">
      <c r="A37" s="1"/>
      <c r="B37" s="105" t="s">
        <v>123</v>
      </c>
      <c r="C37" s="106"/>
      <c r="D37" s="106"/>
      <c r="E37" s="106"/>
      <c r="F37" s="107"/>
      <c r="G37" s="22">
        <f>(G35+G36)*'Fane 13. Nøgletal'!C33</f>
        <v>175474.7704570315</v>
      </c>
      <c r="H37" s="14" t="s">
        <v>3</v>
      </c>
      <c r="I37" s="1"/>
    </row>
    <row r="38" spans="1:9" x14ac:dyDescent="0.25">
      <c r="A38" s="1"/>
      <c r="B38" s="53"/>
      <c r="C38" s="54"/>
      <c r="D38" s="54"/>
      <c r="E38" s="54"/>
      <c r="F38" s="54"/>
      <c r="G38" s="35"/>
      <c r="H38" s="19"/>
      <c r="I38" s="1"/>
    </row>
    <row r="39" spans="1:9" x14ac:dyDescent="0.25">
      <c r="A39" s="1"/>
      <c r="B39" s="1"/>
      <c r="C39" s="1"/>
      <c r="D39" s="1"/>
      <c r="E39" s="1"/>
      <c r="F39" s="1"/>
      <c r="G39" s="36"/>
      <c r="H39" s="1"/>
      <c r="I39" s="1"/>
    </row>
    <row r="40" spans="1:9" x14ac:dyDescent="0.25">
      <c r="A40" s="1"/>
      <c r="B40" s="102" t="s">
        <v>157</v>
      </c>
      <c r="C40" s="103"/>
      <c r="D40" s="103"/>
      <c r="E40" s="103"/>
      <c r="F40" s="103"/>
      <c r="G40" s="103"/>
      <c r="H40" s="104"/>
      <c r="I40" s="1"/>
    </row>
    <row r="41" spans="1:9" x14ac:dyDescent="0.25">
      <c r="A41" s="1"/>
      <c r="B41" s="105" t="s">
        <v>68</v>
      </c>
      <c r="C41" s="106"/>
      <c r="D41" s="106"/>
      <c r="E41" s="106"/>
      <c r="F41" s="107"/>
      <c r="G41" s="22">
        <f>(G35+G36-G37)*(1+'Fane 13. Nøgletal'!C15)</f>
        <v>8904361.9419797901</v>
      </c>
      <c r="H41" s="14" t="s">
        <v>3</v>
      </c>
      <c r="I41" s="1"/>
    </row>
    <row r="42" spans="1:9" x14ac:dyDescent="0.25">
      <c r="A42" s="1"/>
      <c r="B42" s="105" t="s">
        <v>156</v>
      </c>
      <c r="C42" s="106"/>
      <c r="D42" s="106"/>
      <c r="E42" s="106"/>
      <c r="F42" s="107"/>
      <c r="G42" s="22">
        <v>149025.77447616003</v>
      </c>
      <c r="H42" s="14" t="s">
        <v>3</v>
      </c>
      <c r="I42" s="1"/>
    </row>
    <row r="43" spans="1:9" x14ac:dyDescent="0.25">
      <c r="A43" s="1"/>
      <c r="B43" s="105" t="s">
        <v>166</v>
      </c>
      <c r="C43" s="106"/>
      <c r="D43" s="106"/>
      <c r="E43" s="106"/>
      <c r="F43" s="107"/>
      <c r="G43" s="22">
        <f>(G41+G42)*'Fane 13. Nøgletal'!C33</f>
        <v>181067.75432911899</v>
      </c>
      <c r="H43" s="14" t="s">
        <v>3</v>
      </c>
      <c r="I43" s="1"/>
    </row>
    <row r="44" spans="1:9" x14ac:dyDescent="0.25">
      <c r="A44" s="1"/>
      <c r="B44" s="53"/>
      <c r="C44" s="54"/>
      <c r="D44" s="54"/>
      <c r="E44" s="54"/>
      <c r="F44" s="54"/>
      <c r="G44" s="35"/>
      <c r="H44" s="19"/>
      <c r="I44" s="1"/>
    </row>
    <row r="45" spans="1:9" x14ac:dyDescent="0.25">
      <c r="A45" s="1"/>
      <c r="B45" s="1"/>
      <c r="C45" s="1"/>
      <c r="D45" s="1"/>
      <c r="E45" s="1"/>
      <c r="F45" s="1"/>
      <c r="G45" s="36"/>
      <c r="H45" s="1"/>
      <c r="I45" s="1"/>
    </row>
    <row r="46" spans="1:9" x14ac:dyDescent="0.25">
      <c r="A46" s="1"/>
      <c r="B46" s="102" t="s">
        <v>158</v>
      </c>
      <c r="C46" s="103"/>
      <c r="D46" s="103"/>
      <c r="E46" s="103"/>
      <c r="F46" s="103"/>
      <c r="G46" s="103"/>
      <c r="H46" s="104"/>
      <c r="I46" s="1"/>
    </row>
    <row r="47" spans="1:9" x14ac:dyDescent="0.25">
      <c r="A47" s="1"/>
      <c r="B47" s="105" t="s">
        <v>112</v>
      </c>
      <c r="C47" s="106"/>
      <c r="D47" s="106"/>
      <c r="E47" s="106"/>
      <c r="F47" s="107"/>
      <c r="G47" s="22">
        <f>(G41+G42-G43)*(1+'Fane 13. Nøgletal'!C15)</f>
        <v>9188174.5527785458</v>
      </c>
      <c r="H47" s="14" t="s">
        <v>3</v>
      </c>
      <c r="I47" s="1"/>
    </row>
    <row r="48" spans="1:9" x14ac:dyDescent="0.25">
      <c r="A48" s="1"/>
      <c r="B48" s="105" t="s">
        <v>206</v>
      </c>
      <c r="C48" s="106"/>
      <c r="D48" s="106"/>
      <c r="E48" s="106"/>
      <c r="F48" s="107"/>
      <c r="G48" s="22">
        <f>('Fane 2.1. Økonomisk ramme 2024'!C9+'Fane 2.1. Økonomisk ramme 2024'!C11+'Fane 2.1. Økonomisk ramme 2024'!C13)*(1+'Fane 13. Nøgletal'!C16)</f>
        <v>25465.204351999997</v>
      </c>
      <c r="H48" s="14" t="s">
        <v>3</v>
      </c>
      <c r="I48" s="1"/>
    </row>
    <row r="49" spans="1:9" x14ac:dyDescent="0.25">
      <c r="A49" s="1"/>
      <c r="B49" s="105" t="s">
        <v>167</v>
      </c>
      <c r="C49" s="106"/>
      <c r="D49" s="106"/>
      <c r="E49" s="106"/>
      <c r="F49" s="107"/>
      <c r="G49" s="22">
        <f>G47*'Fane 13. Nøgletal'!C33+G48*'Fane 13. Nøgletal'!C33</f>
        <v>184272.79514261091</v>
      </c>
      <c r="H49" s="14" t="s">
        <v>3</v>
      </c>
      <c r="I49" s="1"/>
    </row>
    <row r="50" spans="1:9" x14ac:dyDescent="0.25">
      <c r="A50" s="1"/>
      <c r="B50" s="53"/>
      <c r="C50" s="54"/>
      <c r="D50" s="54"/>
      <c r="E50" s="54"/>
      <c r="F50" s="54"/>
      <c r="G50" s="35"/>
      <c r="H50" s="19"/>
      <c r="I50" s="1"/>
    </row>
    <row r="51" spans="1:9" x14ac:dyDescent="0.25">
      <c r="A51" s="1"/>
      <c r="B51" s="1"/>
      <c r="C51" s="1"/>
      <c r="D51" s="1"/>
      <c r="E51" s="1"/>
      <c r="F51" s="1"/>
      <c r="G51" s="36"/>
      <c r="H51" s="1"/>
      <c r="I51" s="1"/>
    </row>
    <row r="52" spans="1:9" x14ac:dyDescent="0.25">
      <c r="A52" s="1"/>
      <c r="B52" s="102" t="s">
        <v>133</v>
      </c>
      <c r="C52" s="103"/>
      <c r="D52" s="103"/>
      <c r="E52" s="103"/>
      <c r="F52" s="103"/>
      <c r="G52" s="103"/>
      <c r="H52" s="104"/>
      <c r="I52" s="1"/>
    </row>
    <row r="53" spans="1:9" x14ac:dyDescent="0.25">
      <c r="A53" s="1"/>
      <c r="B53" s="105" t="s">
        <v>134</v>
      </c>
      <c r="C53" s="106"/>
      <c r="D53" s="106"/>
      <c r="E53" s="106"/>
      <c r="F53" s="107"/>
      <c r="G53" s="22">
        <f>(G47+G48-G49)*(1+'Fane 13. Nøgletal'!C16)</f>
        <v>9758939.8125165608</v>
      </c>
      <c r="H53" s="14" t="s">
        <v>3</v>
      </c>
      <c r="I53" s="1"/>
    </row>
    <row r="54" spans="1:9" x14ac:dyDescent="0.25">
      <c r="A54" s="1"/>
      <c r="B54" s="105" t="s">
        <v>135</v>
      </c>
      <c r="C54" s="106"/>
      <c r="D54" s="106"/>
      <c r="E54" s="106"/>
      <c r="F54" s="107"/>
      <c r="G54" s="22">
        <f>(G53)*'Fane 13. Nøgletal'!C33</f>
        <v>195178.79625033122</v>
      </c>
      <c r="H54" s="14" t="s">
        <v>3</v>
      </c>
      <c r="I54" s="1"/>
    </row>
    <row r="55" spans="1:9" x14ac:dyDescent="0.25">
      <c r="A55" s="1"/>
      <c r="B55" s="53"/>
      <c r="C55" s="54"/>
      <c r="D55" s="54"/>
      <c r="E55" s="54"/>
      <c r="F55" s="54"/>
      <c r="G55" s="35"/>
      <c r="H55" s="19"/>
      <c r="I55" s="1"/>
    </row>
    <row r="56" spans="1:9" x14ac:dyDescent="0.25">
      <c r="A56" s="1"/>
      <c r="B56" s="1"/>
      <c r="C56" s="1"/>
      <c r="D56" s="1"/>
      <c r="E56" s="1"/>
      <c r="F56" s="1"/>
      <c r="G56" s="36"/>
      <c r="H56" s="1"/>
      <c r="I56" s="1"/>
    </row>
    <row r="57" spans="1:9" x14ac:dyDescent="0.25">
      <c r="A57" s="1"/>
      <c r="B57" s="102" t="s">
        <v>144</v>
      </c>
      <c r="C57" s="103"/>
      <c r="D57" s="103"/>
      <c r="E57" s="103"/>
      <c r="F57" s="103"/>
      <c r="G57" s="103"/>
      <c r="H57" s="104"/>
      <c r="I57" s="1"/>
    </row>
    <row r="58" spans="1:9" x14ac:dyDescent="0.25">
      <c r="A58" s="1"/>
      <c r="B58" s="105" t="s">
        <v>145</v>
      </c>
      <c r="C58" s="106"/>
      <c r="D58" s="106"/>
      <c r="E58" s="106"/>
      <c r="F58" s="107"/>
      <c r="G58" s="22">
        <f>(G53-G54)*(1+'Fane 13. Nøgletal'!C16)</f>
        <v>10336512.906380542</v>
      </c>
      <c r="H58" s="14" t="s">
        <v>3</v>
      </c>
      <c r="I58" s="1"/>
    </row>
    <row r="59" spans="1:9" x14ac:dyDescent="0.25">
      <c r="A59" s="1"/>
      <c r="B59" s="105" t="s">
        <v>146</v>
      </c>
      <c r="C59" s="106"/>
      <c r="D59" s="106"/>
      <c r="E59" s="106"/>
      <c r="F59" s="107"/>
      <c r="G59" s="22">
        <f>(G58)*'Fane 13. Nøgletal'!C33</f>
        <v>206730.25812761084</v>
      </c>
      <c r="H59" s="14" t="s">
        <v>3</v>
      </c>
      <c r="I59" s="1"/>
    </row>
    <row r="60" spans="1:9" x14ac:dyDescent="0.25">
      <c r="A60" s="1"/>
      <c r="B60" s="53"/>
      <c r="C60" s="54"/>
      <c r="D60" s="54"/>
      <c r="E60" s="54"/>
      <c r="F60" s="54"/>
      <c r="G60" s="35"/>
      <c r="H60" s="19"/>
      <c r="I60" s="1"/>
    </row>
    <row r="61" spans="1:9" x14ac:dyDescent="0.25">
      <c r="A61" s="1"/>
      <c r="B61" s="1"/>
      <c r="C61" s="1"/>
      <c r="D61" s="1"/>
      <c r="E61" s="1"/>
      <c r="F61" s="1"/>
      <c r="G61" s="36"/>
      <c r="H61" s="1"/>
      <c r="I61" s="1"/>
    </row>
    <row r="62" spans="1:9" x14ac:dyDescent="0.25">
      <c r="A62" s="1"/>
      <c r="B62" s="102" t="s">
        <v>220</v>
      </c>
      <c r="C62" s="103"/>
      <c r="D62" s="103"/>
      <c r="E62" s="103"/>
      <c r="F62" s="103"/>
      <c r="G62" s="103"/>
      <c r="H62" s="104"/>
      <c r="I62" s="1"/>
    </row>
    <row r="63" spans="1:9" x14ac:dyDescent="0.25">
      <c r="A63" s="1"/>
      <c r="B63" s="105" t="s">
        <v>221</v>
      </c>
      <c r="C63" s="106"/>
      <c r="D63" s="106"/>
      <c r="E63" s="106"/>
      <c r="F63" s="107"/>
      <c r="G63" s="22">
        <f>(G58-G59)*(1+'Fane 13. Nøgletal'!C16)</f>
        <v>10948269.086231766</v>
      </c>
      <c r="H63" s="14" t="s">
        <v>3</v>
      </c>
      <c r="I63" s="1"/>
    </row>
    <row r="64" spans="1:9" x14ac:dyDescent="0.25">
      <c r="A64" s="1"/>
      <c r="B64" s="105" t="s">
        <v>222</v>
      </c>
      <c r="C64" s="106"/>
      <c r="D64" s="106"/>
      <c r="E64" s="106"/>
      <c r="F64" s="107"/>
      <c r="G64" s="22">
        <f>(G63)*'Fane 13. Nøgletal'!C33</f>
        <v>218965.38172463534</v>
      </c>
      <c r="H64" s="14" t="s">
        <v>3</v>
      </c>
      <c r="I64" s="1"/>
    </row>
    <row r="65" spans="1:9" x14ac:dyDescent="0.25">
      <c r="A65" s="1"/>
      <c r="B65" s="53"/>
      <c r="C65" s="54"/>
      <c r="D65" s="54"/>
      <c r="E65" s="54"/>
      <c r="F65" s="54"/>
      <c r="G65" s="50"/>
      <c r="H65" s="19"/>
      <c r="I65" s="1"/>
    </row>
    <row r="66" spans="1:9" x14ac:dyDescent="0.25">
      <c r="A66" s="1"/>
      <c r="B66" s="1"/>
      <c r="C66" s="1"/>
      <c r="D66" s="1"/>
      <c r="E66" s="1"/>
      <c r="F66" s="1"/>
      <c r="G66" s="36"/>
      <c r="H66" s="1"/>
      <c r="I66" s="1"/>
    </row>
    <row r="67" spans="1:9" x14ac:dyDescent="0.25">
      <c r="A67" s="1"/>
      <c r="B67" s="1"/>
      <c r="C67" s="1"/>
      <c r="D67" s="1"/>
      <c r="E67" s="1"/>
      <c r="F67" s="1"/>
      <c r="G67" s="36"/>
      <c r="H67" s="1"/>
      <c r="I67" s="1"/>
    </row>
    <row r="68" spans="1:9" x14ac:dyDescent="0.25">
      <c r="A68" s="1"/>
      <c r="B68" s="1"/>
      <c r="C68" s="1"/>
      <c r="D68" s="1"/>
      <c r="E68" s="1"/>
      <c r="F68" s="1"/>
      <c r="G68" s="36"/>
      <c r="H68" s="1"/>
      <c r="I68" s="1"/>
    </row>
    <row r="69" spans="1:9" x14ac:dyDescent="0.25">
      <c r="A69" s="1"/>
      <c r="B69" s="1"/>
      <c r="C69" s="1"/>
      <c r="D69" s="1"/>
      <c r="E69" s="1"/>
      <c r="F69" s="1"/>
      <c r="G69" s="36"/>
      <c r="H69" s="1"/>
      <c r="I69" s="1"/>
    </row>
    <row r="70" spans="1:9" x14ac:dyDescent="0.25">
      <c r="A70" s="1"/>
      <c r="B70" s="1"/>
      <c r="C70" s="1"/>
      <c r="D70" s="1"/>
      <c r="E70" s="1"/>
      <c r="F70" s="1"/>
      <c r="G70" s="36"/>
      <c r="H70" s="1"/>
      <c r="I70" s="1"/>
    </row>
    <row r="71" spans="1:9" x14ac:dyDescent="0.25">
      <c r="A71" s="1"/>
      <c r="B71" s="1"/>
      <c r="C71" s="1"/>
      <c r="D71" s="1"/>
      <c r="E71" s="1"/>
      <c r="F71" s="1"/>
      <c r="G71" s="36"/>
      <c r="H71" s="1"/>
      <c r="I71" s="1"/>
    </row>
    <row r="72" spans="1:9" x14ac:dyDescent="0.25">
      <c r="A72" s="1"/>
      <c r="B72" s="1"/>
      <c r="C72" s="1"/>
      <c r="D72" s="1"/>
      <c r="E72" s="1"/>
      <c r="F72" s="1"/>
      <c r="G72" s="36"/>
      <c r="H72" s="1"/>
      <c r="I72" s="1"/>
    </row>
    <row r="73" spans="1:9" x14ac:dyDescent="0.25">
      <c r="A73" s="1"/>
      <c r="B73" s="1"/>
      <c r="C73" s="1"/>
      <c r="D73" s="1"/>
      <c r="E73" s="1"/>
      <c r="F73" s="1"/>
      <c r="G73" s="36"/>
      <c r="H73" s="1"/>
      <c r="I73" s="1"/>
    </row>
    <row r="74" spans="1:9" x14ac:dyDescent="0.25">
      <c r="A74" s="1"/>
      <c r="B74" s="1"/>
      <c r="C74" s="1"/>
      <c r="D74" s="1"/>
      <c r="E74" s="1"/>
      <c r="F74" s="1"/>
      <c r="G74" s="36"/>
      <c r="H74" s="1"/>
      <c r="I74" s="1"/>
    </row>
    <row r="75" spans="1:9" x14ac:dyDescent="0.25">
      <c r="A75" s="1"/>
      <c r="B75" s="1"/>
      <c r="C75" s="1"/>
      <c r="D75" s="1"/>
      <c r="E75" s="1"/>
      <c r="F75" s="1"/>
      <c r="G75" s="36"/>
      <c r="H75" s="1"/>
      <c r="I75" s="1"/>
    </row>
    <row r="76" spans="1:9" x14ac:dyDescent="0.25">
      <c r="A76" s="1"/>
      <c r="B76" s="1"/>
      <c r="C76" s="1"/>
      <c r="D76" s="1"/>
      <c r="E76" s="1"/>
      <c r="F76" s="1"/>
      <c r="G76" s="36"/>
      <c r="H76" s="1"/>
      <c r="I76" s="1"/>
    </row>
    <row r="77" spans="1:9" x14ac:dyDescent="0.25">
      <c r="A77" s="1"/>
      <c r="B77" s="1"/>
      <c r="C77" s="1"/>
      <c r="D77" s="1"/>
      <c r="E77" s="1"/>
      <c r="F77" s="1"/>
      <c r="G77" s="36"/>
      <c r="H77" s="1"/>
      <c r="I77" s="1"/>
    </row>
    <row r="78" spans="1:9" x14ac:dyDescent="0.25">
      <c r="A78" s="1"/>
      <c r="B78" s="1"/>
      <c r="C78" s="1"/>
      <c r="D78" s="1"/>
      <c r="E78" s="1"/>
      <c r="F78" s="1"/>
      <c r="G78" s="36"/>
      <c r="H78" s="1"/>
      <c r="I78" s="1"/>
    </row>
    <row r="79" spans="1:9" x14ac:dyDescent="0.25">
      <c r="A79" s="1"/>
      <c r="B79" s="1"/>
      <c r="C79" s="1"/>
      <c r="D79" s="1"/>
      <c r="E79" s="1"/>
      <c r="F79" s="1"/>
      <c r="G79" s="36"/>
      <c r="H79" s="1"/>
      <c r="I79" s="1"/>
    </row>
    <row r="80" spans="1:9" x14ac:dyDescent="0.25">
      <c r="A80" s="1"/>
      <c r="B80" s="1"/>
      <c r="C80" s="1"/>
      <c r="D80" s="1"/>
      <c r="E80" s="1"/>
      <c r="F80" s="1"/>
      <c r="G80" s="36"/>
      <c r="H80" s="1"/>
      <c r="I80" s="1"/>
    </row>
    <row r="81" spans="1:9" x14ac:dyDescent="0.25">
      <c r="A81" s="1"/>
      <c r="B81" s="1"/>
      <c r="C81" s="1"/>
      <c r="D81" s="1"/>
      <c r="E81" s="1"/>
      <c r="F81" s="1"/>
      <c r="G81" s="36"/>
      <c r="H81" s="1"/>
      <c r="I81" s="1"/>
    </row>
    <row r="82" spans="1:9" x14ac:dyDescent="0.25">
      <c r="A82" s="1"/>
      <c r="B82" s="1"/>
      <c r="C82" s="1"/>
      <c r="D82" s="1"/>
      <c r="E82" s="1"/>
      <c r="F82" s="1"/>
      <c r="G82" s="36"/>
      <c r="H82" s="1"/>
      <c r="I82" s="1"/>
    </row>
    <row r="83" spans="1:9" x14ac:dyDescent="0.25">
      <c r="A83" s="1"/>
      <c r="B83" s="1"/>
      <c r="C83" s="1"/>
      <c r="D83" s="1"/>
      <c r="E83" s="1"/>
      <c r="F83" s="1"/>
      <c r="G83" s="36"/>
      <c r="H83" s="1"/>
      <c r="I83" s="1"/>
    </row>
    <row r="84" spans="1:9" x14ac:dyDescent="0.25">
      <c r="A84" s="1"/>
      <c r="B84" s="1"/>
      <c r="C84" s="1"/>
      <c r="D84" s="1"/>
      <c r="E84" s="1"/>
      <c r="F84" s="1"/>
      <c r="G84" s="36"/>
      <c r="H84" s="1"/>
      <c r="I84" s="1"/>
    </row>
    <row r="85" spans="1:9" x14ac:dyDescent="0.25">
      <c r="A85" s="1"/>
      <c r="B85" s="1"/>
      <c r="C85" s="1"/>
      <c r="D85" s="1"/>
      <c r="E85" s="1"/>
      <c r="F85" s="1"/>
      <c r="G85" s="36"/>
      <c r="H85" s="1"/>
      <c r="I85" s="1"/>
    </row>
    <row r="86" spans="1:9" x14ac:dyDescent="0.25">
      <c r="A86" s="1"/>
      <c r="B86" s="1"/>
      <c r="C86" s="1"/>
      <c r="D86" s="1"/>
      <c r="E86" s="1"/>
      <c r="F86" s="1"/>
      <c r="G86" s="36"/>
      <c r="H86" s="1"/>
      <c r="I86" s="1"/>
    </row>
    <row r="87" spans="1:9" x14ac:dyDescent="0.25">
      <c r="A87" s="1"/>
      <c r="B87" s="1"/>
      <c r="C87" s="1"/>
      <c r="D87" s="1"/>
      <c r="E87" s="1"/>
      <c r="F87" s="1"/>
      <c r="G87" s="36"/>
      <c r="H87" s="1"/>
      <c r="I87" s="1"/>
    </row>
    <row r="88" spans="1:9" x14ac:dyDescent="0.25">
      <c r="A88" s="1"/>
      <c r="B88" s="1"/>
      <c r="C88" s="1"/>
      <c r="D88" s="1"/>
      <c r="E88" s="1"/>
      <c r="F88" s="1"/>
      <c r="G88" s="36"/>
      <c r="H88" s="1"/>
      <c r="I88" s="1"/>
    </row>
    <row r="89" spans="1:9" x14ac:dyDescent="0.25">
      <c r="A89" s="1"/>
      <c r="B89" s="1"/>
      <c r="C89" s="1"/>
      <c r="D89" s="1"/>
      <c r="E89" s="1"/>
      <c r="F89" s="1"/>
      <c r="G89" s="36"/>
      <c r="H89" s="1"/>
      <c r="I89" s="1"/>
    </row>
    <row r="90" spans="1:9" x14ac:dyDescent="0.25">
      <c r="A90" s="1"/>
      <c r="B90" s="1"/>
      <c r="C90" s="1"/>
      <c r="D90" s="1"/>
      <c r="E90" s="1"/>
      <c r="F90" s="1"/>
      <c r="G90" s="36"/>
      <c r="H90" s="1"/>
      <c r="I90" s="1"/>
    </row>
    <row r="91" spans="1:9" x14ac:dyDescent="0.25">
      <c r="A91" s="1"/>
      <c r="B91" s="1"/>
      <c r="C91" s="1"/>
      <c r="D91" s="1"/>
      <c r="E91" s="1"/>
      <c r="F91" s="1"/>
      <c r="G91" s="36"/>
      <c r="H91" s="1"/>
      <c r="I91" s="1"/>
    </row>
    <row r="92" spans="1:9" x14ac:dyDescent="0.25">
      <c r="A92" s="1"/>
      <c r="B92" s="1"/>
      <c r="C92" s="1"/>
      <c r="D92" s="1"/>
      <c r="E92" s="1"/>
      <c r="F92" s="1"/>
      <c r="G92" s="36"/>
      <c r="H92" s="1"/>
      <c r="I92" s="1"/>
    </row>
    <row r="93" spans="1:9" x14ac:dyDescent="0.25">
      <c r="A93" s="1"/>
      <c r="B93" s="1"/>
      <c r="C93" s="1"/>
      <c r="D93" s="1"/>
      <c r="E93" s="1"/>
      <c r="F93" s="1"/>
      <c r="G93" s="36"/>
      <c r="H93" s="1"/>
      <c r="I93" s="1"/>
    </row>
    <row r="94" spans="1:9" x14ac:dyDescent="0.25">
      <c r="A94" s="1"/>
      <c r="B94" s="1"/>
      <c r="C94" s="1"/>
      <c r="D94" s="1"/>
      <c r="E94" s="1"/>
      <c r="F94" s="1"/>
      <c r="G94" s="36"/>
      <c r="H94" s="1"/>
      <c r="I94" s="1"/>
    </row>
    <row r="95" spans="1:9" x14ac:dyDescent="0.25">
      <c r="A95" s="1"/>
      <c r="B95" s="1"/>
      <c r="C95" s="1"/>
      <c r="D95" s="1"/>
      <c r="E95" s="1"/>
      <c r="F95" s="1"/>
      <c r="G95" s="36"/>
      <c r="H95" s="1"/>
      <c r="I95" s="1"/>
    </row>
    <row r="96" spans="1:9" x14ac:dyDescent="0.25">
      <c r="A96" s="1"/>
      <c r="B96" s="1"/>
      <c r="C96" s="1"/>
      <c r="D96" s="1"/>
      <c r="E96" s="1"/>
      <c r="F96" s="1"/>
      <c r="G96" s="36"/>
      <c r="H96" s="1"/>
      <c r="I96" s="1"/>
    </row>
    <row r="97" spans="1:9" x14ac:dyDescent="0.25">
      <c r="A97" s="1"/>
      <c r="B97" s="1"/>
      <c r="C97" s="1"/>
      <c r="D97" s="1"/>
      <c r="E97" s="1"/>
      <c r="F97" s="1"/>
      <c r="G97" s="36"/>
      <c r="H97" s="1"/>
      <c r="I97" s="1"/>
    </row>
    <row r="98" spans="1:9" x14ac:dyDescent="0.25">
      <c r="A98" s="1"/>
      <c r="B98" s="1"/>
      <c r="C98" s="1"/>
      <c r="D98" s="1"/>
      <c r="E98" s="1"/>
      <c r="F98" s="1"/>
      <c r="G98" s="36"/>
      <c r="H98" s="1"/>
      <c r="I98" s="1"/>
    </row>
    <row r="99" spans="1:9" x14ac:dyDescent="0.25">
      <c r="A99" s="1"/>
      <c r="B99" s="1"/>
      <c r="C99" s="1"/>
      <c r="D99" s="1"/>
      <c r="E99" s="1"/>
      <c r="F99" s="1"/>
      <c r="G99" s="36"/>
      <c r="H99" s="1"/>
      <c r="I99" s="1"/>
    </row>
    <row r="100" spans="1:9" x14ac:dyDescent="0.25">
      <c r="A100" s="1"/>
      <c r="B100" s="1"/>
      <c r="C100" s="1"/>
      <c r="D100" s="1"/>
      <c r="E100" s="1"/>
      <c r="F100" s="1"/>
      <c r="G100" s="36"/>
      <c r="H100" s="1"/>
      <c r="I100" s="1"/>
    </row>
  </sheetData>
  <sheetProtection algorithmName="SHA-512" hashValue="rHaq3H9Zgo/atnvkGgVzfadFL1QsxM3isPzeGTUF00jeia1t6nwlUx5QyDBddSfA1EWfySnwCowB8Ho+FatlYw==" saltValue="OijJlCgoGsb3HksqrXsQtg==" spinCount="100000" sheet="1" objects="1" scenarios="1"/>
  <mergeCells count="42">
    <mergeCell ref="B16:F16"/>
    <mergeCell ref="B18:F18"/>
    <mergeCell ref="B17:F17"/>
    <mergeCell ref="B19:F19"/>
    <mergeCell ref="B23:F23"/>
    <mergeCell ref="B15:H15"/>
    <mergeCell ref="B1:H3"/>
    <mergeCell ref="B4:H4"/>
    <mergeCell ref="B5:F5"/>
    <mergeCell ref="B6:F6"/>
    <mergeCell ref="B10:F10"/>
    <mergeCell ref="B9:H9"/>
    <mergeCell ref="B11:F11"/>
    <mergeCell ref="B12:F12"/>
    <mergeCell ref="B25:F25"/>
    <mergeCell ref="B35:F35"/>
    <mergeCell ref="B30:F30"/>
    <mergeCell ref="B31:F31"/>
    <mergeCell ref="B22:H22"/>
    <mergeCell ref="B24:F24"/>
    <mergeCell ref="B28:H28"/>
    <mergeCell ref="B29:F29"/>
    <mergeCell ref="B34:H34"/>
    <mergeCell ref="B37:F37"/>
    <mergeCell ref="B46:H46"/>
    <mergeCell ref="B48:F48"/>
    <mergeCell ref="B36:F36"/>
    <mergeCell ref="B57:H57"/>
    <mergeCell ref="B47:F47"/>
    <mergeCell ref="B49:F49"/>
    <mergeCell ref="B40:H40"/>
    <mergeCell ref="B41:F41"/>
    <mergeCell ref="B43:F43"/>
    <mergeCell ref="B42:F42"/>
    <mergeCell ref="B62:H62"/>
    <mergeCell ref="B63:F63"/>
    <mergeCell ref="B64:F64"/>
    <mergeCell ref="B59:F59"/>
    <mergeCell ref="B52:H52"/>
    <mergeCell ref="B53:F53"/>
    <mergeCell ref="B54:F54"/>
    <mergeCell ref="B58:F58"/>
  </mergeCells>
  <pageMargins left="0.70866141732283461" right="0.70866141732283461" top="0.74803149606299213" bottom="0.74803149606299213"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11"/>
  <dimension ref="A1:I100"/>
  <sheetViews>
    <sheetView showGridLines="0" view="pageLayout" zoomScaleNormal="120" workbookViewId="0"/>
  </sheetViews>
  <sheetFormatPr defaultColWidth="9.140625" defaultRowHeight="15" x14ac:dyDescent="0.25"/>
  <cols>
    <col min="1" max="1" width="2.85546875" style="2" customWidth="1"/>
    <col min="2" max="5" width="9.140625" style="2"/>
    <col min="6" max="6" width="25.7109375" style="2" customWidth="1"/>
    <col min="7" max="7" width="10.28515625" style="2" customWidth="1"/>
    <col min="8" max="8" width="2.85546875" style="2" bestFit="1" customWidth="1"/>
    <col min="9" max="9" width="2.85546875" style="2" customWidth="1"/>
    <col min="10" max="16384" width="9.140625" style="2"/>
  </cols>
  <sheetData>
    <row r="1" spans="1:9" x14ac:dyDescent="0.25">
      <c r="A1" s="1"/>
      <c r="B1" s="111" t="s">
        <v>91</v>
      </c>
      <c r="C1" s="112"/>
      <c r="D1" s="112"/>
      <c r="E1" s="112"/>
      <c r="F1" s="112"/>
      <c r="G1" s="112"/>
      <c r="H1" s="112"/>
      <c r="I1" s="1"/>
    </row>
    <row r="2" spans="1:9" ht="19.899999999999999" customHeight="1" x14ac:dyDescent="0.25">
      <c r="A2" s="1"/>
      <c r="B2" s="112"/>
      <c r="C2" s="112"/>
      <c r="D2" s="112"/>
      <c r="E2" s="112"/>
      <c r="F2" s="112"/>
      <c r="G2" s="112"/>
      <c r="H2" s="112"/>
      <c r="I2" s="1"/>
    </row>
    <row r="3" spans="1:9" ht="15" customHeight="1" x14ac:dyDescent="0.25">
      <c r="A3" s="1"/>
      <c r="B3" s="113"/>
      <c r="C3" s="113"/>
      <c r="D3" s="113"/>
      <c r="E3" s="113"/>
      <c r="F3" s="113"/>
      <c r="G3" s="113"/>
      <c r="H3" s="113"/>
      <c r="I3" s="1"/>
    </row>
    <row r="4" spans="1:9" x14ac:dyDescent="0.25">
      <c r="A4" s="1"/>
      <c r="B4" s="102" t="s">
        <v>48</v>
      </c>
      <c r="C4" s="103"/>
      <c r="D4" s="103"/>
      <c r="E4" s="103"/>
      <c r="F4" s="103"/>
      <c r="G4" s="103"/>
      <c r="H4" s="104"/>
      <c r="I4" s="1"/>
    </row>
    <row r="5" spans="1:9" x14ac:dyDescent="0.25">
      <c r="A5" s="1"/>
      <c r="B5" s="105" t="s">
        <v>51</v>
      </c>
      <c r="C5" s="106"/>
      <c r="D5" s="106"/>
      <c r="E5" s="106"/>
      <c r="F5" s="107"/>
      <c r="G5" s="47">
        <v>5834961.0346827582</v>
      </c>
      <c r="H5" s="14" t="s">
        <v>3</v>
      </c>
      <c r="I5" s="1"/>
    </row>
    <row r="6" spans="1:9" x14ac:dyDescent="0.25">
      <c r="A6" s="1"/>
      <c r="B6" s="105" t="s">
        <v>49</v>
      </c>
      <c r="C6" s="106"/>
      <c r="D6" s="106"/>
      <c r="E6" s="106"/>
      <c r="F6" s="107"/>
      <c r="G6" s="22">
        <f>G5*'Fane 13. Nøgletal'!C21</f>
        <v>53098.1454156131</v>
      </c>
      <c r="H6" s="14" t="s">
        <v>3</v>
      </c>
      <c r="I6" s="1"/>
    </row>
    <row r="7" spans="1:9" x14ac:dyDescent="0.25">
      <c r="A7" s="1"/>
      <c r="B7" s="53"/>
      <c r="C7" s="54"/>
      <c r="D7" s="54"/>
      <c r="E7" s="54"/>
      <c r="F7" s="54"/>
      <c r="G7" s="54"/>
      <c r="H7" s="19"/>
      <c r="I7" s="1"/>
    </row>
    <row r="8" spans="1:9" x14ac:dyDescent="0.25">
      <c r="A8" s="1"/>
      <c r="B8" s="1"/>
      <c r="C8" s="1"/>
      <c r="D8" s="1"/>
      <c r="E8" s="1"/>
      <c r="F8" s="1"/>
      <c r="G8" s="1"/>
      <c r="H8" s="1"/>
      <c r="I8" s="1"/>
    </row>
    <row r="9" spans="1:9" x14ac:dyDescent="0.25">
      <c r="A9" s="1"/>
      <c r="B9" s="102" t="s">
        <v>52</v>
      </c>
      <c r="C9" s="103"/>
      <c r="D9" s="103"/>
      <c r="E9" s="103"/>
      <c r="F9" s="103"/>
      <c r="G9" s="103"/>
      <c r="H9" s="104"/>
      <c r="I9" s="1"/>
    </row>
    <row r="10" spans="1:9" x14ac:dyDescent="0.25">
      <c r="A10" s="1"/>
      <c r="B10" s="105" t="s">
        <v>53</v>
      </c>
      <c r="C10" s="106"/>
      <c r="D10" s="106"/>
      <c r="E10" s="106"/>
      <c r="F10" s="107"/>
      <c r="G10" s="22">
        <f>(G5-G6)*(1+'Fane 13. Nøgletal'!C9)</f>
        <v>5855292.5479608374</v>
      </c>
      <c r="H10" s="14" t="s">
        <v>3</v>
      </c>
      <c r="I10" s="1"/>
    </row>
    <row r="11" spans="1:9" x14ac:dyDescent="0.25">
      <c r="A11" s="1"/>
      <c r="B11" s="108" t="s">
        <v>54</v>
      </c>
      <c r="C11" s="109"/>
      <c r="D11" s="109"/>
      <c r="E11" s="109"/>
      <c r="F11" s="110"/>
      <c r="G11" s="48">
        <v>0</v>
      </c>
      <c r="H11" s="14" t="s">
        <v>3</v>
      </c>
      <c r="I11" s="1"/>
    </row>
    <row r="12" spans="1:9" x14ac:dyDescent="0.25">
      <c r="A12" s="1"/>
      <c r="B12" s="105" t="s">
        <v>55</v>
      </c>
      <c r="C12" s="106"/>
      <c r="D12" s="106"/>
      <c r="E12" s="106"/>
      <c r="F12" s="107"/>
      <c r="G12" s="22">
        <f>G10*'Fane 13. Nøgletal'!C21+G11*'Fane 13. Nøgletal'!C22</f>
        <v>53283.162186443624</v>
      </c>
      <c r="H12" s="14" t="s">
        <v>3</v>
      </c>
      <c r="I12" s="1"/>
    </row>
    <row r="13" spans="1:9" x14ac:dyDescent="0.25">
      <c r="A13" s="1"/>
      <c r="B13" s="53"/>
      <c r="C13" s="54"/>
      <c r="D13" s="54"/>
      <c r="E13" s="54"/>
      <c r="F13" s="54"/>
      <c r="G13" s="54"/>
      <c r="H13" s="19"/>
      <c r="I13" s="1"/>
    </row>
    <row r="14" spans="1:9" x14ac:dyDescent="0.25">
      <c r="A14" s="1"/>
      <c r="B14" s="1"/>
      <c r="C14" s="1"/>
      <c r="D14" s="1"/>
      <c r="E14" s="1"/>
      <c r="F14" s="1"/>
      <c r="G14" s="1"/>
      <c r="H14" s="1"/>
      <c r="I14" s="1"/>
    </row>
    <row r="15" spans="1:9" x14ac:dyDescent="0.25">
      <c r="A15" s="1"/>
      <c r="B15" s="102" t="s">
        <v>56</v>
      </c>
      <c r="C15" s="103"/>
      <c r="D15" s="103"/>
      <c r="E15" s="103"/>
      <c r="F15" s="103"/>
      <c r="G15" s="103"/>
      <c r="H15" s="104"/>
      <c r="I15" s="1"/>
    </row>
    <row r="16" spans="1:9" x14ac:dyDescent="0.25">
      <c r="A16" s="1"/>
      <c r="B16" s="105" t="s">
        <v>57</v>
      </c>
      <c r="C16" s="106"/>
      <c r="D16" s="106"/>
      <c r="E16" s="106"/>
      <c r="F16" s="107"/>
      <c r="G16" s="22">
        <f>(G10+G11-G12)*(1+'Fane 13. Nøgletal'!C11)</f>
        <v>5900063.3443939807</v>
      </c>
      <c r="H16" s="14" t="s">
        <v>3</v>
      </c>
      <c r="I16" s="1"/>
    </row>
    <row r="17" spans="1:9" x14ac:dyDescent="0.25">
      <c r="A17" s="1"/>
      <c r="B17" s="105" t="s">
        <v>101</v>
      </c>
      <c r="C17" s="106"/>
      <c r="D17" s="106"/>
      <c r="E17" s="106"/>
      <c r="F17" s="107"/>
      <c r="G17" s="47">
        <v>77420.961241862591</v>
      </c>
      <c r="H17" s="14" t="s">
        <v>3</v>
      </c>
      <c r="I17" s="1"/>
    </row>
    <row r="18" spans="1:9" x14ac:dyDescent="0.25">
      <c r="A18" s="1"/>
      <c r="B18" s="108" t="s">
        <v>58</v>
      </c>
      <c r="C18" s="109"/>
      <c r="D18" s="109"/>
      <c r="E18" s="109"/>
      <c r="F18" s="110"/>
      <c r="G18" s="47">
        <v>37429.245696754995</v>
      </c>
      <c r="H18" s="14" t="s">
        <v>3</v>
      </c>
      <c r="I18" s="1"/>
    </row>
    <row r="19" spans="1:9" x14ac:dyDescent="0.25">
      <c r="A19" s="1"/>
      <c r="B19" s="105" t="s">
        <v>59</v>
      </c>
      <c r="C19" s="106"/>
      <c r="D19" s="106"/>
      <c r="E19" s="106"/>
      <c r="F19" s="107"/>
      <c r="G19" s="22">
        <f>(G16+G17+G18)*'Fane 13. Nøgletal'!C23</f>
        <v>52329.747896593602</v>
      </c>
      <c r="H19" s="14" t="s">
        <v>3</v>
      </c>
      <c r="I19" s="1"/>
    </row>
    <row r="20" spans="1:9" x14ac:dyDescent="0.25">
      <c r="A20" s="1"/>
      <c r="B20" s="53"/>
      <c r="C20" s="54"/>
      <c r="D20" s="54"/>
      <c r="E20" s="54"/>
      <c r="F20" s="54"/>
      <c r="G20" s="54"/>
      <c r="H20" s="19"/>
      <c r="I20" s="1"/>
    </row>
    <row r="21" spans="1:9" x14ac:dyDescent="0.25">
      <c r="A21" s="1"/>
      <c r="B21" s="1"/>
      <c r="C21" s="1"/>
      <c r="D21" s="1"/>
      <c r="E21" s="1"/>
      <c r="F21" s="1"/>
      <c r="G21" s="1"/>
      <c r="H21" s="1"/>
      <c r="I21" s="1"/>
    </row>
    <row r="22" spans="1:9" x14ac:dyDescent="0.25">
      <c r="A22" s="1"/>
      <c r="B22" s="102" t="s">
        <v>60</v>
      </c>
      <c r="C22" s="103"/>
      <c r="D22" s="103"/>
      <c r="E22" s="103"/>
      <c r="F22" s="103"/>
      <c r="G22" s="103"/>
      <c r="H22" s="104"/>
      <c r="I22" s="1"/>
    </row>
    <row r="23" spans="1:9" x14ac:dyDescent="0.25">
      <c r="A23" s="1"/>
      <c r="B23" s="105" t="s">
        <v>61</v>
      </c>
      <c r="C23" s="106"/>
      <c r="D23" s="106"/>
      <c r="E23" s="106"/>
      <c r="F23" s="107"/>
      <c r="G23" s="22">
        <f>(SUM(G16:G18)-G19)*(1+'Fane 13. Nøgletal'!C11)</f>
        <v>6063351.4697140725</v>
      </c>
      <c r="H23" s="14" t="s">
        <v>3</v>
      </c>
      <c r="I23" s="1"/>
    </row>
    <row r="24" spans="1:9" x14ac:dyDescent="0.25">
      <c r="A24" s="1"/>
      <c r="B24" s="108" t="s">
        <v>62</v>
      </c>
      <c r="C24" s="109"/>
      <c r="D24" s="109"/>
      <c r="E24" s="109"/>
      <c r="F24" s="110"/>
      <c r="G24" s="47">
        <v>0</v>
      </c>
      <c r="H24" s="14" t="s">
        <v>3</v>
      </c>
      <c r="I24" s="1"/>
    </row>
    <row r="25" spans="1:9" x14ac:dyDescent="0.25">
      <c r="A25" s="1"/>
      <c r="B25" s="105" t="s">
        <v>63</v>
      </c>
      <c r="C25" s="106"/>
      <c r="D25" s="106"/>
      <c r="E25" s="106"/>
      <c r="F25" s="107"/>
      <c r="G25" s="22">
        <f>G23*'Fane 13. Nøgletal'!C23+G24*'Fane 13. Nøgletal'!C24</f>
        <v>52751.157786512427</v>
      </c>
      <c r="H25" s="14" t="s">
        <v>3</v>
      </c>
      <c r="I25" s="1"/>
    </row>
    <row r="26" spans="1:9" x14ac:dyDescent="0.25">
      <c r="A26" s="1"/>
      <c r="B26" s="53"/>
      <c r="C26" s="54"/>
      <c r="D26" s="54"/>
      <c r="E26" s="54"/>
      <c r="F26" s="54"/>
      <c r="G26" s="54"/>
      <c r="H26" s="19"/>
      <c r="I26" s="1"/>
    </row>
    <row r="27" spans="1:9" x14ac:dyDescent="0.25">
      <c r="A27" s="1"/>
      <c r="B27" s="1"/>
      <c r="C27" s="1"/>
      <c r="D27" s="1"/>
      <c r="E27" s="1"/>
      <c r="F27" s="1"/>
      <c r="G27" s="1"/>
      <c r="H27" s="1"/>
      <c r="I27" s="1"/>
    </row>
    <row r="28" spans="1:9" x14ac:dyDescent="0.25">
      <c r="A28" s="1"/>
      <c r="B28" s="102" t="s">
        <v>119</v>
      </c>
      <c r="C28" s="103"/>
      <c r="D28" s="103"/>
      <c r="E28" s="103"/>
      <c r="F28" s="103"/>
      <c r="G28" s="103"/>
      <c r="H28" s="104"/>
      <c r="I28" s="1"/>
    </row>
    <row r="29" spans="1:9" x14ac:dyDescent="0.25">
      <c r="A29" s="1"/>
      <c r="B29" s="105" t="s">
        <v>64</v>
      </c>
      <c r="C29" s="106"/>
      <c r="D29" s="106"/>
      <c r="E29" s="106"/>
      <c r="F29" s="107"/>
      <c r="G29" s="22">
        <f>(G23+G24-G25)*(1+'Fane 13. Nøgletal'!C13)</f>
        <v>6083929.6357330764</v>
      </c>
      <c r="H29" s="14" t="s">
        <v>3</v>
      </c>
      <c r="I29" s="1"/>
    </row>
    <row r="30" spans="1:9" x14ac:dyDescent="0.25">
      <c r="A30" s="1"/>
      <c r="B30" s="105" t="s">
        <v>113</v>
      </c>
      <c r="C30" s="106"/>
      <c r="D30" s="106"/>
      <c r="E30" s="106"/>
      <c r="F30" s="107"/>
      <c r="G30" s="47">
        <v>0</v>
      </c>
      <c r="H30" s="14" t="s">
        <v>3</v>
      </c>
      <c r="I30" s="1"/>
    </row>
    <row r="31" spans="1:9" x14ac:dyDescent="0.25">
      <c r="A31" s="1"/>
      <c r="B31" s="105" t="s">
        <v>120</v>
      </c>
      <c r="C31" s="106"/>
      <c r="D31" s="106"/>
      <c r="E31" s="106"/>
      <c r="F31" s="107"/>
      <c r="G31" s="22">
        <f>(G29+G30)*'Fane 13. Nøgletal'!C25</f>
        <v>167308.06498265959</v>
      </c>
      <c r="H31" s="14" t="s">
        <v>3</v>
      </c>
      <c r="I31" s="1"/>
    </row>
    <row r="32" spans="1:9" x14ac:dyDescent="0.25">
      <c r="A32" s="1"/>
      <c r="B32" s="53"/>
      <c r="C32" s="54"/>
      <c r="D32" s="54"/>
      <c r="E32" s="54"/>
      <c r="F32" s="54"/>
      <c r="G32" s="54"/>
      <c r="H32" s="19"/>
      <c r="I32" s="1"/>
    </row>
    <row r="33" spans="1:9" x14ac:dyDescent="0.25">
      <c r="A33" s="1"/>
      <c r="B33" s="1"/>
      <c r="C33" s="1"/>
      <c r="D33" s="1"/>
      <c r="E33" s="1"/>
      <c r="F33" s="1"/>
      <c r="G33" s="1"/>
      <c r="H33" s="1"/>
      <c r="I33" s="1"/>
    </row>
    <row r="34" spans="1:9" x14ac:dyDescent="0.25">
      <c r="A34" s="1"/>
      <c r="B34" s="102" t="s">
        <v>124</v>
      </c>
      <c r="C34" s="103"/>
      <c r="D34" s="103"/>
      <c r="E34" s="103"/>
      <c r="F34" s="103"/>
      <c r="G34" s="103"/>
      <c r="H34" s="104"/>
      <c r="I34" s="1"/>
    </row>
    <row r="35" spans="1:9" x14ac:dyDescent="0.25">
      <c r="A35" s="1"/>
      <c r="B35" s="105" t="s">
        <v>67</v>
      </c>
      <c r="C35" s="106"/>
      <c r="D35" s="106"/>
      <c r="E35" s="106"/>
      <c r="F35" s="107"/>
      <c r="G35" s="22">
        <f>(G29+G30-G31)*(1+'Fane 13. Nøgletal'!C13)</f>
        <v>5988804.3539135726</v>
      </c>
      <c r="H35" s="14" t="s">
        <v>3</v>
      </c>
      <c r="I35" s="1"/>
    </row>
    <row r="36" spans="1:9" x14ac:dyDescent="0.25">
      <c r="A36" s="1"/>
      <c r="B36" s="105" t="s">
        <v>129</v>
      </c>
      <c r="C36" s="106"/>
      <c r="D36" s="106"/>
      <c r="E36" s="106"/>
      <c r="F36" s="107"/>
      <c r="G36" s="22">
        <v>14639.142173270002</v>
      </c>
      <c r="H36" s="14" t="s">
        <v>3</v>
      </c>
      <c r="I36" s="1"/>
    </row>
    <row r="37" spans="1:9" x14ac:dyDescent="0.25">
      <c r="A37" s="1"/>
      <c r="B37" s="105" t="s">
        <v>125</v>
      </c>
      <c r="C37" s="106"/>
      <c r="D37" s="106"/>
      <c r="E37" s="106"/>
      <c r="F37" s="107"/>
      <c r="G37" s="22">
        <f>G35*'Fane 13. Nøgletal'!C25+G36*'Fane 13. Nøgletal'!C26</f>
        <v>164908.77903678766</v>
      </c>
      <c r="H37" s="14" t="s">
        <v>3</v>
      </c>
      <c r="I37" s="1"/>
    </row>
    <row r="38" spans="1:9" x14ac:dyDescent="0.25">
      <c r="A38" s="1"/>
      <c r="B38" s="53"/>
      <c r="C38" s="54"/>
      <c r="D38" s="54"/>
      <c r="E38" s="54"/>
      <c r="F38" s="54"/>
      <c r="G38" s="54"/>
      <c r="H38" s="19"/>
      <c r="I38" s="1"/>
    </row>
    <row r="39" spans="1:9" x14ac:dyDescent="0.25">
      <c r="A39" s="1"/>
      <c r="B39" s="1"/>
      <c r="C39" s="1"/>
      <c r="D39" s="1"/>
      <c r="E39" s="1"/>
      <c r="F39" s="1"/>
      <c r="G39" s="1"/>
      <c r="H39" s="1"/>
      <c r="I39" s="1"/>
    </row>
    <row r="40" spans="1:9" x14ac:dyDescent="0.25">
      <c r="A40" s="1"/>
      <c r="B40" s="102" t="s">
        <v>159</v>
      </c>
      <c r="C40" s="103"/>
      <c r="D40" s="103"/>
      <c r="E40" s="103"/>
      <c r="F40" s="103"/>
      <c r="G40" s="103"/>
      <c r="H40" s="104"/>
      <c r="I40" s="1"/>
    </row>
    <row r="41" spans="1:9" x14ac:dyDescent="0.25">
      <c r="A41" s="1"/>
      <c r="B41" s="105" t="s">
        <v>66</v>
      </c>
      <c r="C41" s="106"/>
      <c r="D41" s="106"/>
      <c r="E41" s="106"/>
      <c r="F41" s="107"/>
      <c r="G41" s="22">
        <f>(G35+G36-G37)*(1+'Fane 13. Nøgletal'!C15)</f>
        <v>6046386.5529770376</v>
      </c>
      <c r="H41" s="14" t="s">
        <v>3</v>
      </c>
      <c r="I41" s="1"/>
    </row>
    <row r="42" spans="1:9" x14ac:dyDescent="0.25">
      <c r="A42" s="1"/>
      <c r="B42" s="105" t="s">
        <v>169</v>
      </c>
      <c r="C42" s="106"/>
      <c r="D42" s="106"/>
      <c r="E42" s="106"/>
      <c r="F42" s="107"/>
      <c r="G42" s="9">
        <v>1894159.6772112004</v>
      </c>
      <c r="H42" s="14" t="s">
        <v>3</v>
      </c>
      <c r="I42" s="1"/>
    </row>
    <row r="43" spans="1:9" x14ac:dyDescent="0.25">
      <c r="A43" s="1"/>
      <c r="B43" s="105" t="s">
        <v>65</v>
      </c>
      <c r="C43" s="106"/>
      <c r="D43" s="106"/>
      <c r="E43" s="106"/>
      <c r="F43" s="107"/>
      <c r="G43" s="22">
        <f>(G41+G42)*'Fane 13. Nøgletal'!C27</f>
        <v>0</v>
      </c>
      <c r="H43" s="14" t="s">
        <v>3</v>
      </c>
      <c r="I43" s="1"/>
    </row>
    <row r="44" spans="1:9" x14ac:dyDescent="0.25">
      <c r="A44" s="1"/>
      <c r="B44" s="53"/>
      <c r="C44" s="54"/>
      <c r="D44" s="54"/>
      <c r="E44" s="54"/>
      <c r="F44" s="54"/>
      <c r="G44" s="54"/>
      <c r="H44" s="19"/>
      <c r="I44" s="1"/>
    </row>
    <row r="45" spans="1:9" ht="12" customHeight="1" x14ac:dyDescent="0.25">
      <c r="A45" s="1"/>
      <c r="B45" s="1"/>
      <c r="C45" s="1"/>
      <c r="D45" s="1"/>
      <c r="E45" s="1"/>
      <c r="F45" s="1"/>
      <c r="G45" s="1"/>
      <c r="H45" s="1"/>
      <c r="I45" s="1"/>
    </row>
    <row r="46" spans="1:9" x14ac:dyDescent="0.25">
      <c r="A46" s="1"/>
      <c r="B46" s="102" t="s">
        <v>160</v>
      </c>
      <c r="C46" s="103"/>
      <c r="D46" s="103"/>
      <c r="E46" s="103"/>
      <c r="F46" s="103"/>
      <c r="G46" s="103"/>
      <c r="H46" s="104"/>
      <c r="I46" s="1"/>
    </row>
    <row r="47" spans="1:9" x14ac:dyDescent="0.25">
      <c r="A47" s="1"/>
      <c r="B47" s="105" t="s">
        <v>114</v>
      </c>
      <c r="C47" s="106"/>
      <c r="D47" s="106"/>
      <c r="E47" s="106"/>
      <c r="F47" s="107"/>
      <c r="G47" s="22">
        <f>(G41+G42-G43)*(1+'Fane 13. Nøgletal'!C15)</f>
        <v>8223229.6759829391</v>
      </c>
      <c r="H47" s="14" t="s">
        <v>3</v>
      </c>
      <c r="I47" s="1"/>
    </row>
    <row r="48" spans="1:9" x14ac:dyDescent="0.25">
      <c r="A48" s="1"/>
      <c r="B48" s="105" t="s">
        <v>210</v>
      </c>
      <c r="C48" s="106"/>
      <c r="D48" s="106"/>
      <c r="E48" s="106"/>
      <c r="F48" s="107"/>
      <c r="G48" s="22">
        <f>('Fane 2.1. Økonomisk ramme 2024'!C10+'Fane 2.1. Økonomisk ramme 2024'!C12+'Fane 2.1. Økonomisk ramme 2024'!C14)*(1+'Fane 13. Nøgletal'!C16)</f>
        <v>138637.01138111998</v>
      </c>
      <c r="H48" s="14" t="s">
        <v>3</v>
      </c>
      <c r="I48" s="1"/>
    </row>
    <row r="49" spans="1:9" x14ac:dyDescent="0.25">
      <c r="A49" s="1"/>
      <c r="B49" s="105" t="s">
        <v>211</v>
      </c>
      <c r="C49" s="106"/>
      <c r="D49" s="106"/>
      <c r="E49" s="106"/>
      <c r="F49" s="107"/>
      <c r="G49" s="57">
        <f>(G47)*'Fane 13. Nøgletal'!C27+G48*'Fane 13. Nøgletal'!C28</f>
        <v>0</v>
      </c>
      <c r="H49" s="14" t="s">
        <v>3</v>
      </c>
      <c r="I49" s="1"/>
    </row>
    <row r="50" spans="1:9" x14ac:dyDescent="0.25">
      <c r="A50" s="1"/>
      <c r="B50" s="53"/>
      <c r="C50" s="54"/>
      <c r="D50" s="54"/>
      <c r="E50" s="54"/>
      <c r="F50" s="54"/>
      <c r="G50" s="54"/>
      <c r="H50" s="19"/>
      <c r="I50" s="1"/>
    </row>
    <row r="51" spans="1:9" x14ac:dyDescent="0.25">
      <c r="A51" s="1"/>
      <c r="B51" s="1"/>
      <c r="C51" s="1"/>
      <c r="D51" s="1"/>
      <c r="E51" s="1"/>
      <c r="F51" s="1"/>
      <c r="G51" s="1"/>
      <c r="H51" s="1"/>
      <c r="I51" s="1"/>
    </row>
    <row r="52" spans="1:9" x14ac:dyDescent="0.25">
      <c r="A52" s="1"/>
      <c r="B52" s="102" t="s">
        <v>130</v>
      </c>
      <c r="C52" s="103"/>
      <c r="D52" s="103"/>
      <c r="E52" s="103"/>
      <c r="F52" s="103"/>
      <c r="G52" s="103"/>
      <c r="H52" s="104"/>
      <c r="I52" s="1"/>
    </row>
    <row r="53" spans="1:9" x14ac:dyDescent="0.25">
      <c r="A53" s="1"/>
      <c r="B53" s="105" t="s">
        <v>131</v>
      </c>
      <c r="C53" s="106"/>
      <c r="D53" s="106"/>
      <c r="E53" s="106"/>
      <c r="F53" s="107"/>
      <c r="G53" s="22">
        <f>(G47+G48-G49)*(1+'Fane 13. Nøgletal'!C16)</f>
        <v>9037505.5157030746</v>
      </c>
      <c r="H53" s="14" t="s">
        <v>3</v>
      </c>
      <c r="I53" s="1"/>
    </row>
    <row r="54" spans="1:9" x14ac:dyDescent="0.25">
      <c r="A54" s="1"/>
      <c r="B54" s="105" t="s">
        <v>132</v>
      </c>
      <c r="C54" s="106"/>
      <c r="D54" s="106"/>
      <c r="E54" s="106"/>
      <c r="F54" s="107"/>
      <c r="G54" s="57">
        <f>(G53)*'Fane 13. Nøgletal'!C28</f>
        <v>0</v>
      </c>
      <c r="H54" s="14" t="s">
        <v>3</v>
      </c>
      <c r="I54" s="1"/>
    </row>
    <row r="55" spans="1:9" x14ac:dyDescent="0.25">
      <c r="A55" s="1"/>
      <c r="B55" s="53"/>
      <c r="C55" s="54"/>
      <c r="D55" s="54"/>
      <c r="E55" s="54"/>
      <c r="F55" s="54"/>
      <c r="G55" s="54"/>
      <c r="H55" s="19"/>
      <c r="I55" s="1"/>
    </row>
    <row r="56" spans="1:9" x14ac:dyDescent="0.25">
      <c r="A56" s="1"/>
      <c r="B56" s="1"/>
      <c r="C56" s="1"/>
      <c r="D56" s="1"/>
      <c r="E56" s="1"/>
      <c r="F56" s="1"/>
      <c r="G56" s="1"/>
      <c r="H56" s="1"/>
      <c r="I56" s="1"/>
    </row>
    <row r="57" spans="1:9" x14ac:dyDescent="0.25">
      <c r="A57" s="1"/>
      <c r="B57" s="102" t="s">
        <v>147</v>
      </c>
      <c r="C57" s="103"/>
      <c r="D57" s="103"/>
      <c r="E57" s="103"/>
      <c r="F57" s="103"/>
      <c r="G57" s="103"/>
      <c r="H57" s="104"/>
      <c r="I57" s="1"/>
    </row>
    <row r="58" spans="1:9" x14ac:dyDescent="0.25">
      <c r="A58" s="1"/>
      <c r="B58" s="105" t="s">
        <v>148</v>
      </c>
      <c r="C58" s="106"/>
      <c r="D58" s="106"/>
      <c r="E58" s="106"/>
      <c r="F58" s="107"/>
      <c r="G58" s="22">
        <f>(G53-G54)*(1+'Fane 13. Nøgletal'!C16)</f>
        <v>9767735.9613718837</v>
      </c>
      <c r="H58" s="14" t="s">
        <v>3</v>
      </c>
      <c r="I58" s="1"/>
    </row>
    <row r="59" spans="1:9" x14ac:dyDescent="0.25">
      <c r="A59" s="1"/>
      <c r="B59" s="105" t="s">
        <v>149</v>
      </c>
      <c r="C59" s="106"/>
      <c r="D59" s="106"/>
      <c r="E59" s="106"/>
      <c r="F59" s="107"/>
      <c r="G59" s="57">
        <f>(G58)*'Fane 13. Nøgletal'!C28</f>
        <v>0</v>
      </c>
      <c r="H59" s="14" t="s">
        <v>3</v>
      </c>
      <c r="I59" s="1"/>
    </row>
    <row r="60" spans="1:9" x14ac:dyDescent="0.25">
      <c r="A60" s="1"/>
      <c r="B60" s="53"/>
      <c r="C60" s="54"/>
      <c r="D60" s="54"/>
      <c r="E60" s="54"/>
      <c r="F60" s="54"/>
      <c r="G60" s="54"/>
      <c r="H60" s="19"/>
      <c r="I60" s="1"/>
    </row>
    <row r="61" spans="1:9" x14ac:dyDescent="0.25">
      <c r="A61" s="1"/>
      <c r="B61" s="1"/>
      <c r="C61" s="1"/>
      <c r="D61" s="1"/>
      <c r="E61" s="1"/>
      <c r="F61" s="1"/>
      <c r="G61" s="1"/>
      <c r="H61" s="1"/>
      <c r="I61" s="1"/>
    </row>
    <row r="62" spans="1:9" x14ac:dyDescent="0.25">
      <c r="A62" s="1"/>
      <c r="B62" s="102" t="s">
        <v>223</v>
      </c>
      <c r="C62" s="103"/>
      <c r="D62" s="103"/>
      <c r="E62" s="103"/>
      <c r="F62" s="103"/>
      <c r="G62" s="103"/>
      <c r="H62" s="104"/>
      <c r="I62" s="1"/>
    </row>
    <row r="63" spans="1:9" x14ac:dyDescent="0.25">
      <c r="A63" s="1"/>
      <c r="B63" s="105" t="s">
        <v>224</v>
      </c>
      <c r="C63" s="106"/>
      <c r="D63" s="106"/>
      <c r="E63" s="106"/>
      <c r="F63" s="107"/>
      <c r="G63" s="22">
        <f>(G58-G59)*(1+'Fane 13. Nøgletal'!C16)</f>
        <v>10556969.027050732</v>
      </c>
      <c r="H63" s="14" t="s">
        <v>3</v>
      </c>
      <c r="I63" s="1"/>
    </row>
    <row r="64" spans="1:9" x14ac:dyDescent="0.25">
      <c r="A64" s="1"/>
      <c r="B64" s="105" t="s">
        <v>225</v>
      </c>
      <c r="C64" s="106"/>
      <c r="D64" s="106"/>
      <c r="E64" s="106"/>
      <c r="F64" s="107"/>
      <c r="G64" s="57">
        <f>(G63)*'Fane 13. Nøgletal'!C28</f>
        <v>0</v>
      </c>
      <c r="H64" s="14" t="s">
        <v>3</v>
      </c>
      <c r="I64" s="1"/>
    </row>
    <row r="65" spans="1:9" x14ac:dyDescent="0.25">
      <c r="A65" s="1"/>
      <c r="B65" s="53"/>
      <c r="C65" s="54"/>
      <c r="D65" s="54"/>
      <c r="E65" s="54"/>
      <c r="F65" s="54"/>
      <c r="G65" s="54"/>
      <c r="H65" s="19"/>
      <c r="I65" s="1"/>
    </row>
    <row r="66" spans="1:9" x14ac:dyDescent="0.25">
      <c r="A66" s="1"/>
      <c r="B66" s="1"/>
      <c r="C66" s="1"/>
      <c r="D66" s="1"/>
      <c r="E66" s="1"/>
      <c r="F66" s="1"/>
      <c r="G66" s="1"/>
      <c r="H66" s="1"/>
      <c r="I66" s="1"/>
    </row>
    <row r="67" spans="1:9" x14ac:dyDescent="0.25">
      <c r="A67" s="1"/>
      <c r="B67" s="1"/>
      <c r="C67" s="1"/>
      <c r="D67" s="1"/>
      <c r="E67" s="1"/>
      <c r="F67" s="1"/>
      <c r="G67" s="1"/>
      <c r="H67" s="1"/>
      <c r="I67" s="1"/>
    </row>
    <row r="68" spans="1:9" x14ac:dyDescent="0.25">
      <c r="A68" s="1"/>
      <c r="B68" s="1"/>
      <c r="C68" s="1"/>
      <c r="D68" s="1"/>
      <c r="E68" s="1"/>
      <c r="F68" s="1"/>
      <c r="G68" s="1"/>
      <c r="H68" s="1"/>
      <c r="I68" s="1"/>
    </row>
    <row r="69" spans="1:9" x14ac:dyDescent="0.25">
      <c r="A69" s="1"/>
      <c r="B69" s="1"/>
      <c r="C69" s="1"/>
      <c r="D69" s="1"/>
      <c r="E69" s="1"/>
      <c r="F69" s="1"/>
      <c r="G69" s="1"/>
      <c r="H69" s="1"/>
      <c r="I69" s="1"/>
    </row>
    <row r="70" spans="1:9" x14ac:dyDescent="0.25">
      <c r="A70" s="1"/>
      <c r="B70" s="1"/>
      <c r="C70" s="1"/>
      <c r="D70" s="1"/>
      <c r="E70" s="1"/>
      <c r="F70" s="1"/>
      <c r="G70" s="1"/>
      <c r="H70" s="1"/>
      <c r="I70" s="1"/>
    </row>
    <row r="71" spans="1:9" x14ac:dyDescent="0.25">
      <c r="A71" s="1"/>
      <c r="B71" s="1"/>
      <c r="C71" s="1"/>
      <c r="D71" s="1"/>
      <c r="E71" s="1"/>
      <c r="F71" s="1"/>
      <c r="G71" s="1"/>
      <c r="H71" s="1"/>
      <c r="I71" s="1"/>
    </row>
    <row r="72" spans="1:9" x14ac:dyDescent="0.25">
      <c r="A72" s="1"/>
      <c r="B72" s="1"/>
      <c r="C72" s="1"/>
      <c r="D72" s="1"/>
      <c r="E72" s="1"/>
      <c r="F72" s="1"/>
      <c r="G72" s="1"/>
      <c r="H72" s="1"/>
      <c r="I72" s="1"/>
    </row>
    <row r="73" spans="1:9" x14ac:dyDescent="0.25">
      <c r="A73" s="1"/>
      <c r="B73" s="1"/>
      <c r="C73" s="1"/>
      <c r="D73" s="1"/>
      <c r="E73" s="1"/>
      <c r="F73" s="1"/>
      <c r="G73" s="1"/>
      <c r="H73" s="1"/>
      <c r="I73" s="1"/>
    </row>
    <row r="74" spans="1:9" x14ac:dyDescent="0.25">
      <c r="A74" s="1"/>
      <c r="B74" s="1"/>
      <c r="C74" s="1"/>
      <c r="D74" s="1"/>
      <c r="E74" s="1"/>
      <c r="F74" s="1"/>
      <c r="G74" s="1"/>
      <c r="H74" s="1"/>
      <c r="I74" s="1"/>
    </row>
    <row r="75" spans="1:9" x14ac:dyDescent="0.25">
      <c r="A75" s="1"/>
      <c r="B75" s="1"/>
      <c r="C75" s="1"/>
      <c r="D75" s="1"/>
      <c r="E75" s="1"/>
      <c r="F75" s="1"/>
      <c r="G75" s="1"/>
      <c r="H75" s="1"/>
      <c r="I75" s="1"/>
    </row>
    <row r="76" spans="1:9" x14ac:dyDescent="0.25">
      <c r="A76" s="1"/>
      <c r="B76" s="1"/>
      <c r="C76" s="1"/>
      <c r="D76" s="1"/>
      <c r="E76" s="1"/>
      <c r="F76" s="1"/>
      <c r="G76" s="1"/>
      <c r="H76" s="1"/>
      <c r="I76" s="1"/>
    </row>
    <row r="77" spans="1:9" x14ac:dyDescent="0.25">
      <c r="A77" s="1"/>
      <c r="B77" s="1"/>
      <c r="C77" s="1"/>
      <c r="D77" s="1"/>
      <c r="E77" s="1"/>
      <c r="F77" s="1"/>
      <c r="G77" s="1"/>
      <c r="H77" s="1"/>
      <c r="I77" s="1"/>
    </row>
    <row r="78" spans="1:9" x14ac:dyDescent="0.25">
      <c r="A78" s="1"/>
      <c r="B78" s="1"/>
      <c r="C78" s="1"/>
      <c r="D78" s="1"/>
      <c r="E78" s="1"/>
      <c r="F78" s="1"/>
      <c r="G78" s="1"/>
      <c r="H78" s="1"/>
      <c r="I78" s="1"/>
    </row>
    <row r="79" spans="1:9" x14ac:dyDescent="0.25">
      <c r="A79" s="1"/>
      <c r="B79" s="1"/>
      <c r="C79" s="1"/>
      <c r="D79" s="1"/>
      <c r="E79" s="1"/>
      <c r="F79" s="1"/>
      <c r="G79" s="1"/>
      <c r="H79" s="1"/>
      <c r="I79" s="1"/>
    </row>
    <row r="80" spans="1:9" x14ac:dyDescent="0.25">
      <c r="A80" s="1"/>
      <c r="B80" s="1"/>
      <c r="C80" s="1"/>
      <c r="D80" s="1"/>
      <c r="E80" s="1"/>
      <c r="F80" s="1"/>
      <c r="G80" s="1"/>
      <c r="H80" s="1"/>
      <c r="I80" s="1"/>
    </row>
    <row r="81" spans="1:9" x14ac:dyDescent="0.25">
      <c r="A81" s="1"/>
      <c r="B81" s="1"/>
      <c r="C81" s="1"/>
      <c r="D81" s="1"/>
      <c r="E81" s="1"/>
      <c r="F81" s="1"/>
      <c r="G81" s="1"/>
      <c r="H81" s="1"/>
      <c r="I81" s="1"/>
    </row>
    <row r="82" spans="1:9" x14ac:dyDescent="0.25">
      <c r="A82" s="1"/>
      <c r="B82" s="1"/>
      <c r="C82" s="1"/>
      <c r="D82" s="1"/>
      <c r="E82" s="1"/>
      <c r="F82" s="1"/>
      <c r="G82" s="1"/>
      <c r="H82" s="1"/>
      <c r="I82" s="1"/>
    </row>
    <row r="83" spans="1:9" x14ac:dyDescent="0.25">
      <c r="A83" s="1"/>
      <c r="B83" s="1"/>
      <c r="C83" s="1"/>
      <c r="D83" s="1"/>
      <c r="E83" s="1"/>
      <c r="F83" s="1"/>
      <c r="G83" s="1"/>
      <c r="H83" s="1"/>
      <c r="I83" s="1"/>
    </row>
    <row r="84" spans="1:9" x14ac:dyDescent="0.25">
      <c r="A84" s="1"/>
      <c r="B84" s="1"/>
      <c r="C84" s="1"/>
      <c r="D84" s="1"/>
      <c r="E84" s="1"/>
      <c r="F84" s="1"/>
      <c r="G84" s="1"/>
      <c r="H84" s="1"/>
      <c r="I84" s="1"/>
    </row>
    <row r="85" spans="1:9" x14ac:dyDescent="0.25">
      <c r="A85" s="1"/>
      <c r="B85" s="1"/>
      <c r="C85" s="1"/>
      <c r="D85" s="1"/>
      <c r="E85" s="1"/>
      <c r="F85" s="1"/>
      <c r="G85" s="1"/>
      <c r="H85" s="1"/>
      <c r="I85" s="1"/>
    </row>
    <row r="86" spans="1:9" x14ac:dyDescent="0.25">
      <c r="A86" s="1"/>
      <c r="B86" s="1"/>
      <c r="C86" s="1"/>
      <c r="D86" s="1"/>
      <c r="E86" s="1"/>
      <c r="F86" s="1"/>
      <c r="G86" s="1"/>
      <c r="H86" s="1"/>
      <c r="I86" s="1"/>
    </row>
    <row r="87" spans="1:9" x14ac:dyDescent="0.25">
      <c r="A87" s="1"/>
      <c r="B87" s="1"/>
      <c r="C87" s="1"/>
      <c r="D87" s="1"/>
      <c r="E87" s="1"/>
      <c r="F87" s="1"/>
      <c r="G87" s="1"/>
      <c r="H87" s="1"/>
      <c r="I87" s="1"/>
    </row>
    <row r="88" spans="1:9" x14ac:dyDescent="0.25">
      <c r="A88" s="1"/>
      <c r="B88" s="1"/>
      <c r="C88" s="1"/>
      <c r="D88" s="1"/>
      <c r="E88" s="1"/>
      <c r="F88" s="1"/>
      <c r="G88" s="1"/>
      <c r="H88" s="1"/>
      <c r="I88" s="1"/>
    </row>
    <row r="89" spans="1:9" x14ac:dyDescent="0.25">
      <c r="A89" s="1"/>
      <c r="B89" s="1"/>
      <c r="C89" s="1"/>
      <c r="D89" s="1"/>
      <c r="E89" s="1"/>
      <c r="F89" s="1"/>
      <c r="G89" s="1"/>
      <c r="H89" s="1"/>
      <c r="I89" s="1"/>
    </row>
    <row r="90" spans="1:9" x14ac:dyDescent="0.25">
      <c r="A90" s="1"/>
      <c r="B90" s="1"/>
      <c r="C90" s="1"/>
      <c r="D90" s="1"/>
      <c r="E90" s="1"/>
      <c r="F90" s="1"/>
      <c r="G90" s="1"/>
      <c r="H90" s="1"/>
      <c r="I90" s="1"/>
    </row>
    <row r="91" spans="1:9" x14ac:dyDescent="0.25">
      <c r="A91" s="1"/>
      <c r="B91" s="1"/>
      <c r="C91" s="1"/>
      <c r="D91" s="1"/>
      <c r="E91" s="1"/>
      <c r="F91" s="1"/>
      <c r="G91" s="1"/>
      <c r="H91" s="1"/>
      <c r="I91" s="1"/>
    </row>
    <row r="92" spans="1:9" x14ac:dyDescent="0.25">
      <c r="A92" s="1"/>
      <c r="B92" s="1"/>
      <c r="C92" s="1"/>
      <c r="D92" s="1"/>
      <c r="E92" s="1"/>
      <c r="F92" s="1"/>
      <c r="G92" s="1"/>
      <c r="H92" s="1"/>
      <c r="I92" s="1"/>
    </row>
    <row r="93" spans="1:9" x14ac:dyDescent="0.25">
      <c r="A93" s="1"/>
      <c r="B93" s="1"/>
      <c r="C93" s="1"/>
      <c r="D93" s="1"/>
      <c r="E93" s="1"/>
      <c r="F93" s="1"/>
      <c r="G93" s="1"/>
      <c r="H93" s="1"/>
      <c r="I93" s="1"/>
    </row>
    <row r="94" spans="1:9" x14ac:dyDescent="0.25">
      <c r="A94" s="1"/>
      <c r="B94" s="1"/>
      <c r="C94" s="1"/>
      <c r="D94" s="1"/>
      <c r="E94" s="1"/>
      <c r="F94" s="1"/>
      <c r="G94" s="1"/>
      <c r="H94" s="1"/>
      <c r="I94" s="1"/>
    </row>
    <row r="95" spans="1:9" x14ac:dyDescent="0.25">
      <c r="A95" s="1"/>
      <c r="B95" s="1"/>
      <c r="C95" s="1"/>
      <c r="D95" s="1"/>
      <c r="E95" s="1"/>
      <c r="F95" s="1"/>
      <c r="G95" s="1"/>
      <c r="H95" s="1"/>
      <c r="I95" s="1"/>
    </row>
    <row r="96" spans="1:9" x14ac:dyDescent="0.25">
      <c r="A96" s="1"/>
      <c r="B96" s="1"/>
      <c r="C96" s="1"/>
      <c r="D96" s="1"/>
      <c r="E96" s="1"/>
      <c r="F96" s="1"/>
      <c r="G96" s="1"/>
      <c r="H96" s="1"/>
      <c r="I96" s="1"/>
    </row>
    <row r="97" spans="1:9" x14ac:dyDescent="0.25">
      <c r="A97" s="1"/>
      <c r="B97" s="1"/>
      <c r="C97" s="1"/>
      <c r="D97" s="1"/>
      <c r="E97" s="1"/>
      <c r="F97" s="1"/>
      <c r="G97" s="1"/>
      <c r="H97" s="1"/>
      <c r="I97" s="1"/>
    </row>
    <row r="98" spans="1:9" x14ac:dyDescent="0.25">
      <c r="A98" s="1"/>
      <c r="B98" s="1"/>
      <c r="C98" s="1"/>
      <c r="D98" s="1"/>
      <c r="E98" s="1"/>
      <c r="F98" s="1"/>
      <c r="G98" s="1"/>
      <c r="H98" s="1"/>
      <c r="I98" s="1"/>
    </row>
    <row r="99" spans="1:9" x14ac:dyDescent="0.25">
      <c r="A99" s="1"/>
      <c r="B99" s="1"/>
      <c r="C99" s="1"/>
      <c r="D99" s="1"/>
      <c r="E99" s="1"/>
      <c r="F99" s="1"/>
      <c r="G99" s="1"/>
      <c r="H99" s="1"/>
      <c r="I99" s="1"/>
    </row>
    <row r="100" spans="1:9" x14ac:dyDescent="0.25">
      <c r="A100" s="1"/>
      <c r="B100" s="1"/>
      <c r="C100" s="1"/>
      <c r="D100" s="1"/>
      <c r="E100" s="1"/>
      <c r="F100" s="1"/>
      <c r="G100" s="1"/>
      <c r="H100" s="1"/>
      <c r="I100" s="1"/>
    </row>
  </sheetData>
  <sheetProtection algorithmName="SHA-512" hashValue="N5uXjoh+ghO+hbmvmITF97YIbR8a/HKnWYDE7bhNTi4Ibn6vqhrpCRaOP5at0+uORwLKpT1OvnsmvxTKYb2QKw==" saltValue="tPK8IsmRuHy7Byg+bN3g6g==" spinCount="100000" sheet="1" objects="1" scenarios="1"/>
  <mergeCells count="42">
    <mergeCell ref="B47:F47"/>
    <mergeCell ref="B49:F49"/>
    <mergeCell ref="B36:F36"/>
    <mergeCell ref="B42:F42"/>
    <mergeCell ref="B41:F41"/>
    <mergeCell ref="B40:H40"/>
    <mergeCell ref="B37:F37"/>
    <mergeCell ref="B46:H46"/>
    <mergeCell ref="B48:F48"/>
    <mergeCell ref="B34:H34"/>
    <mergeCell ref="B12:F12"/>
    <mergeCell ref="B15:H15"/>
    <mergeCell ref="B16:F16"/>
    <mergeCell ref="B18:F18"/>
    <mergeCell ref="B30:F30"/>
    <mergeCell ref="B17:F17"/>
    <mergeCell ref="B22:H22"/>
    <mergeCell ref="B23:F23"/>
    <mergeCell ref="B24:F24"/>
    <mergeCell ref="B25:F25"/>
    <mergeCell ref="B1:H3"/>
    <mergeCell ref="B52:H52"/>
    <mergeCell ref="B53:F53"/>
    <mergeCell ref="B54:F54"/>
    <mergeCell ref="B35:F35"/>
    <mergeCell ref="B43:F43"/>
    <mergeCell ref="B19:F19"/>
    <mergeCell ref="B4:H4"/>
    <mergeCell ref="B5:F5"/>
    <mergeCell ref="B6:F6"/>
    <mergeCell ref="B9:H9"/>
    <mergeCell ref="B10:F10"/>
    <mergeCell ref="B11:F11"/>
    <mergeCell ref="B28:H28"/>
    <mergeCell ref="B29:F29"/>
    <mergeCell ref="B31:F31"/>
    <mergeCell ref="B62:H62"/>
    <mergeCell ref="B63:F63"/>
    <mergeCell ref="B64:F64"/>
    <mergeCell ref="B57:H57"/>
    <mergeCell ref="B58:F58"/>
    <mergeCell ref="B59:F59"/>
  </mergeCells>
  <pageMargins left="0.70866141732283461" right="0.70866141732283461" top="0.74803149606299213" bottom="0.74803149606299213"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12"/>
  <dimension ref="A1:H50"/>
  <sheetViews>
    <sheetView showGridLines="0" view="pageLayout" zoomScaleNormal="100" workbookViewId="0"/>
  </sheetViews>
  <sheetFormatPr defaultColWidth="9.140625" defaultRowHeight="15" x14ac:dyDescent="0.25"/>
  <cols>
    <col min="1" max="1" width="7.85546875" style="2" customWidth="1"/>
    <col min="2" max="5" width="9.140625" style="2"/>
    <col min="6" max="6" width="19.85546875" style="2" customWidth="1"/>
    <col min="7" max="7" width="10.28515625" style="2" customWidth="1"/>
    <col min="8" max="8" width="7.85546875" style="2" customWidth="1"/>
    <col min="9" max="16384" width="9.140625" style="2"/>
  </cols>
  <sheetData>
    <row r="1" spans="1:8" x14ac:dyDescent="0.25">
      <c r="A1" s="1"/>
      <c r="B1" s="1"/>
      <c r="C1" s="1"/>
      <c r="D1" s="1"/>
      <c r="E1" s="1"/>
      <c r="F1" s="1"/>
      <c r="G1" s="1"/>
      <c r="H1" s="1"/>
    </row>
    <row r="2" spans="1:8" x14ac:dyDescent="0.25">
      <c r="A2" s="1"/>
      <c r="B2" s="1"/>
      <c r="C2" s="1"/>
      <c r="D2" s="1"/>
      <c r="E2" s="1"/>
      <c r="F2" s="1"/>
      <c r="G2" s="1"/>
      <c r="H2" s="1"/>
    </row>
    <row r="3" spans="1:8" ht="15" customHeight="1" x14ac:dyDescent="0.25">
      <c r="A3" s="1"/>
      <c r="B3" s="98" t="s">
        <v>77</v>
      </c>
      <c r="C3" s="98"/>
      <c r="D3" s="98"/>
      <c r="E3" s="98"/>
      <c r="F3" s="98"/>
      <c r="G3" s="98"/>
      <c r="H3" s="1"/>
    </row>
    <row r="4" spans="1:8" ht="15" customHeight="1" x14ac:dyDescent="0.25">
      <c r="A4" s="1"/>
      <c r="B4" s="98"/>
      <c r="C4" s="98"/>
      <c r="D4" s="98"/>
      <c r="E4" s="98"/>
      <c r="F4" s="98"/>
      <c r="G4" s="98"/>
      <c r="H4" s="1"/>
    </row>
    <row r="5" spans="1:8" x14ac:dyDescent="0.25">
      <c r="A5" s="1"/>
      <c r="B5" s="1"/>
      <c r="C5" s="1"/>
      <c r="D5" s="1"/>
      <c r="E5" s="1"/>
      <c r="F5" s="1"/>
      <c r="G5" s="1"/>
      <c r="H5" s="1"/>
    </row>
    <row r="6" spans="1:8" x14ac:dyDescent="0.25">
      <c r="A6" s="1"/>
      <c r="B6" s="1"/>
      <c r="C6" s="1"/>
      <c r="D6" s="1"/>
      <c r="E6" s="1"/>
      <c r="F6" s="1"/>
      <c r="G6" s="1"/>
      <c r="H6" s="1"/>
    </row>
    <row r="7" spans="1:8" x14ac:dyDescent="0.25">
      <c r="A7" s="1"/>
      <c r="B7" s="1"/>
      <c r="C7" s="1"/>
      <c r="D7" s="1"/>
      <c r="E7" s="1"/>
      <c r="F7" s="1"/>
      <c r="G7" s="1"/>
      <c r="H7" s="1"/>
    </row>
    <row r="8" spans="1:8" x14ac:dyDescent="0.25">
      <c r="A8" s="1"/>
      <c r="B8" s="102" t="s">
        <v>9</v>
      </c>
      <c r="C8" s="103"/>
      <c r="D8" s="103"/>
      <c r="E8" s="103"/>
      <c r="F8" s="103"/>
      <c r="G8" s="104"/>
      <c r="H8" s="1"/>
    </row>
    <row r="9" spans="1:8" x14ac:dyDescent="0.25">
      <c r="A9" s="1"/>
      <c r="B9" s="66" t="s">
        <v>150</v>
      </c>
      <c r="C9" s="67"/>
      <c r="D9" s="67"/>
      <c r="E9" s="67"/>
      <c r="F9" s="68"/>
      <c r="G9" s="52">
        <v>0</v>
      </c>
      <c r="H9" s="1"/>
    </row>
    <row r="10" spans="1:8" x14ac:dyDescent="0.25">
      <c r="A10" s="1"/>
      <c r="B10" s="53"/>
      <c r="C10" s="54"/>
      <c r="D10" s="54"/>
      <c r="E10" s="54"/>
      <c r="F10" s="54"/>
      <c r="G10" s="19"/>
      <c r="H10" s="1"/>
    </row>
    <row r="11" spans="1:8" ht="15" customHeight="1" x14ac:dyDescent="0.25">
      <c r="A11" s="1"/>
      <c r="B11" s="114" t="s">
        <v>236</v>
      </c>
      <c r="C11" s="115"/>
      <c r="D11" s="115"/>
      <c r="E11" s="115"/>
      <c r="F11" s="115"/>
      <c r="G11" s="116"/>
      <c r="H11" s="1"/>
    </row>
    <row r="12" spans="1:8" ht="13.5" customHeight="1" x14ac:dyDescent="0.25">
      <c r="A12" s="1"/>
      <c r="B12" s="117"/>
      <c r="C12" s="118"/>
      <c r="D12" s="118"/>
      <c r="E12" s="118"/>
      <c r="F12" s="118"/>
      <c r="G12" s="119"/>
      <c r="H12" s="1"/>
    </row>
    <row r="13" spans="1:8" x14ac:dyDescent="0.25">
      <c r="A13" s="1"/>
      <c r="B13" s="1"/>
      <c r="C13" s="1"/>
      <c r="D13" s="1"/>
      <c r="E13" s="1"/>
      <c r="F13" s="1"/>
      <c r="G13" s="1"/>
      <c r="H13" s="1"/>
    </row>
    <row r="14" spans="1:8" x14ac:dyDescent="0.25">
      <c r="A14" s="1"/>
      <c r="B14" s="1"/>
      <c r="C14" s="1"/>
      <c r="D14" s="1"/>
      <c r="E14" s="1"/>
      <c r="F14" s="1"/>
      <c r="G14" s="1"/>
      <c r="H14" s="1"/>
    </row>
    <row r="15" spans="1:8" x14ac:dyDescent="0.25">
      <c r="A15" s="1"/>
      <c r="B15" s="1"/>
      <c r="C15" s="1"/>
      <c r="D15" s="1"/>
      <c r="E15" s="1"/>
      <c r="F15" s="1"/>
      <c r="G15" s="1"/>
      <c r="H15" s="1"/>
    </row>
    <row r="16" spans="1:8" x14ac:dyDescent="0.25">
      <c r="A16" s="1"/>
      <c r="B16" s="1"/>
      <c r="C16" s="1"/>
      <c r="D16" s="1"/>
      <c r="E16" s="1"/>
      <c r="F16" s="1"/>
      <c r="G16" s="1"/>
      <c r="H16" s="1"/>
    </row>
    <row r="17" spans="1:8" x14ac:dyDescent="0.25">
      <c r="A17" s="1"/>
      <c r="B17" s="1"/>
      <c r="C17" s="1"/>
      <c r="D17" s="1"/>
      <c r="E17" s="1"/>
      <c r="F17" s="1"/>
      <c r="G17" s="1"/>
      <c r="H17" s="1"/>
    </row>
    <row r="18" spans="1:8" x14ac:dyDescent="0.25">
      <c r="A18" s="1"/>
      <c r="B18" s="1"/>
      <c r="C18" s="1"/>
      <c r="D18" s="1"/>
      <c r="E18" s="1"/>
      <c r="F18" s="1"/>
      <c r="G18" s="1"/>
      <c r="H18" s="1"/>
    </row>
    <row r="19" spans="1:8" x14ac:dyDescent="0.25">
      <c r="A19" s="1"/>
      <c r="B19" s="1"/>
      <c r="C19" s="1"/>
      <c r="D19" s="1"/>
      <c r="E19" s="1"/>
      <c r="F19" s="1"/>
      <c r="G19" s="1"/>
      <c r="H19" s="1"/>
    </row>
    <row r="20" spans="1:8" x14ac:dyDescent="0.25">
      <c r="A20" s="1"/>
      <c r="B20" s="1"/>
      <c r="C20" s="1"/>
      <c r="D20" s="1"/>
      <c r="E20" s="1"/>
      <c r="F20" s="1"/>
      <c r="G20" s="1"/>
      <c r="H20" s="1"/>
    </row>
    <row r="21" spans="1:8" x14ac:dyDescent="0.25">
      <c r="A21" s="1"/>
      <c r="B21" s="1"/>
      <c r="C21" s="1"/>
      <c r="D21" s="1"/>
      <c r="E21" s="1"/>
      <c r="F21" s="1"/>
      <c r="G21" s="1"/>
      <c r="H21" s="1"/>
    </row>
    <row r="22" spans="1:8" x14ac:dyDescent="0.25">
      <c r="A22" s="1"/>
      <c r="B22" s="1"/>
      <c r="C22" s="1"/>
      <c r="D22" s="1"/>
      <c r="E22" s="1"/>
      <c r="F22" s="1"/>
      <c r="G22" s="1"/>
      <c r="H22" s="1"/>
    </row>
    <row r="23" spans="1:8" x14ac:dyDescent="0.25">
      <c r="A23" s="1"/>
      <c r="B23" s="1"/>
      <c r="C23" s="1"/>
      <c r="D23" s="1"/>
      <c r="E23" s="1"/>
      <c r="F23" s="1"/>
      <c r="G23" s="1"/>
      <c r="H23" s="1"/>
    </row>
    <row r="24" spans="1:8" x14ac:dyDescent="0.25">
      <c r="A24" s="1"/>
      <c r="B24" s="1"/>
      <c r="C24" s="1"/>
      <c r="D24" s="1"/>
      <c r="E24" s="1"/>
      <c r="F24" s="1"/>
      <c r="G24" s="1"/>
      <c r="H24" s="1"/>
    </row>
    <row r="25" spans="1:8" x14ac:dyDescent="0.25">
      <c r="A25" s="1"/>
      <c r="B25" s="1"/>
      <c r="C25" s="1"/>
      <c r="D25" s="1"/>
      <c r="E25" s="1"/>
      <c r="F25" s="1"/>
      <c r="G25" s="1"/>
      <c r="H25" s="1"/>
    </row>
    <row r="26" spans="1:8" x14ac:dyDescent="0.25">
      <c r="A26" s="1"/>
      <c r="B26" s="1"/>
      <c r="C26" s="1"/>
      <c r="D26" s="1"/>
      <c r="E26" s="1"/>
      <c r="F26" s="1"/>
      <c r="G26" s="1"/>
      <c r="H26" s="1"/>
    </row>
    <row r="27" spans="1:8" x14ac:dyDescent="0.25">
      <c r="A27" s="1"/>
      <c r="B27" s="1"/>
      <c r="C27" s="1"/>
      <c r="D27" s="1"/>
      <c r="E27" s="1"/>
      <c r="F27" s="1"/>
      <c r="G27" s="1"/>
      <c r="H27" s="1"/>
    </row>
    <row r="28" spans="1:8" x14ac:dyDescent="0.25">
      <c r="A28" s="1"/>
      <c r="B28" s="1"/>
      <c r="C28" s="1"/>
      <c r="D28" s="1"/>
      <c r="E28" s="1"/>
      <c r="F28" s="1"/>
      <c r="G28" s="1"/>
      <c r="H28" s="1"/>
    </row>
    <row r="29" spans="1:8" x14ac:dyDescent="0.25">
      <c r="A29" s="1"/>
      <c r="B29" s="1"/>
      <c r="C29" s="1"/>
      <c r="D29" s="1"/>
      <c r="E29" s="1"/>
      <c r="F29" s="1"/>
      <c r="G29" s="1"/>
      <c r="H29" s="1"/>
    </row>
    <row r="30" spans="1:8" x14ac:dyDescent="0.25">
      <c r="A30" s="1"/>
      <c r="B30" s="1"/>
      <c r="C30" s="1"/>
      <c r="D30" s="1"/>
      <c r="E30" s="1"/>
      <c r="F30" s="1"/>
      <c r="G30" s="1"/>
      <c r="H30" s="1"/>
    </row>
    <row r="31" spans="1:8" x14ac:dyDescent="0.25">
      <c r="A31" s="1"/>
      <c r="B31" s="1"/>
      <c r="C31" s="1"/>
      <c r="D31" s="1"/>
      <c r="E31" s="1"/>
      <c r="F31" s="1"/>
      <c r="G31" s="1"/>
      <c r="H31" s="1"/>
    </row>
    <row r="32" spans="1:8" x14ac:dyDescent="0.25">
      <c r="A32" s="1"/>
      <c r="B32" s="1"/>
      <c r="C32" s="1"/>
      <c r="D32" s="1"/>
      <c r="E32" s="1"/>
      <c r="F32" s="1"/>
      <c r="G32" s="1"/>
      <c r="H32" s="1"/>
    </row>
    <row r="33" spans="1:8" x14ac:dyDescent="0.25">
      <c r="A33" s="1"/>
      <c r="B33" s="1"/>
      <c r="C33" s="1"/>
      <c r="D33" s="1"/>
      <c r="E33" s="1"/>
      <c r="F33" s="1"/>
      <c r="G33" s="1"/>
      <c r="H33" s="1"/>
    </row>
    <row r="34" spans="1:8" x14ac:dyDescent="0.25">
      <c r="A34" s="1"/>
      <c r="B34" s="1"/>
      <c r="C34" s="1"/>
      <c r="D34" s="1"/>
      <c r="E34" s="1"/>
      <c r="F34" s="1"/>
      <c r="G34" s="1"/>
      <c r="H34" s="1"/>
    </row>
    <row r="35" spans="1:8" x14ac:dyDescent="0.25">
      <c r="A35" s="1"/>
      <c r="B35" s="1"/>
      <c r="C35" s="1"/>
      <c r="D35" s="1"/>
      <c r="E35" s="1"/>
      <c r="F35" s="1"/>
      <c r="G35" s="1"/>
      <c r="H35" s="1"/>
    </row>
    <row r="36" spans="1:8" x14ac:dyDescent="0.25">
      <c r="A36" s="1"/>
      <c r="B36" s="1"/>
      <c r="C36" s="1"/>
      <c r="D36" s="1"/>
      <c r="E36" s="1"/>
      <c r="F36" s="1"/>
      <c r="G36" s="1"/>
      <c r="H36" s="1"/>
    </row>
    <row r="37" spans="1:8" x14ac:dyDescent="0.25">
      <c r="A37" s="1"/>
      <c r="B37" s="1"/>
      <c r="C37" s="1"/>
      <c r="D37" s="1"/>
      <c r="E37" s="1"/>
      <c r="F37" s="1"/>
      <c r="G37" s="1"/>
      <c r="H37" s="1"/>
    </row>
    <row r="38" spans="1:8" x14ac:dyDescent="0.25">
      <c r="A38" s="1"/>
      <c r="B38" s="1"/>
      <c r="C38" s="1"/>
      <c r="D38" s="1"/>
      <c r="E38" s="1"/>
      <c r="F38" s="1"/>
      <c r="G38" s="1"/>
      <c r="H38" s="1"/>
    </row>
    <row r="39" spans="1:8" x14ac:dyDescent="0.25">
      <c r="A39" s="1"/>
      <c r="B39" s="1"/>
      <c r="C39" s="1"/>
      <c r="D39" s="1"/>
      <c r="E39" s="1"/>
      <c r="F39" s="1"/>
      <c r="G39" s="1"/>
      <c r="H39" s="1"/>
    </row>
    <row r="40" spans="1:8" x14ac:dyDescent="0.25">
      <c r="A40" s="1"/>
      <c r="B40" s="1"/>
      <c r="C40" s="1"/>
      <c r="D40" s="1"/>
      <c r="E40" s="1"/>
      <c r="F40" s="1"/>
      <c r="G40" s="1"/>
      <c r="H40" s="1"/>
    </row>
    <row r="41" spans="1:8" x14ac:dyDescent="0.25">
      <c r="A41" s="1"/>
      <c r="B41" s="1"/>
      <c r="C41" s="1"/>
      <c r="D41" s="1"/>
      <c r="E41" s="1"/>
      <c r="F41" s="1"/>
      <c r="G41" s="1"/>
      <c r="H41" s="1"/>
    </row>
    <row r="42" spans="1:8" x14ac:dyDescent="0.25">
      <c r="A42" s="1"/>
      <c r="B42" s="1"/>
      <c r="C42" s="1"/>
      <c r="D42" s="1"/>
      <c r="E42" s="1"/>
      <c r="F42" s="1"/>
      <c r="G42" s="1"/>
      <c r="H42" s="1"/>
    </row>
    <row r="43" spans="1:8" x14ac:dyDescent="0.25">
      <c r="A43" s="1"/>
      <c r="B43" s="1"/>
      <c r="C43" s="1"/>
      <c r="D43" s="1"/>
      <c r="E43" s="1"/>
      <c r="F43" s="1"/>
      <c r="G43" s="1"/>
      <c r="H43" s="1"/>
    </row>
    <row r="44" spans="1:8" x14ac:dyDescent="0.25">
      <c r="A44" s="1"/>
      <c r="B44" s="1"/>
      <c r="C44" s="1"/>
      <c r="D44" s="1"/>
      <c r="E44" s="1"/>
      <c r="F44" s="1"/>
      <c r="G44" s="1"/>
      <c r="H44" s="1"/>
    </row>
    <row r="45" spans="1:8" x14ac:dyDescent="0.25">
      <c r="A45" s="1"/>
      <c r="B45" s="1"/>
      <c r="C45" s="1"/>
      <c r="D45" s="1"/>
      <c r="E45" s="1"/>
      <c r="F45" s="1"/>
      <c r="G45" s="1"/>
      <c r="H45" s="1"/>
    </row>
    <row r="46" spans="1:8" x14ac:dyDescent="0.25">
      <c r="A46" s="1"/>
      <c r="B46" s="1"/>
      <c r="C46" s="1"/>
      <c r="D46" s="1"/>
      <c r="E46" s="1"/>
      <c r="F46" s="1"/>
      <c r="G46" s="1"/>
      <c r="H46" s="1"/>
    </row>
    <row r="47" spans="1:8" x14ac:dyDescent="0.25">
      <c r="A47" s="1"/>
      <c r="B47" s="1"/>
      <c r="C47" s="1"/>
      <c r="D47" s="1"/>
      <c r="E47" s="1"/>
      <c r="F47" s="1"/>
      <c r="G47" s="1"/>
      <c r="H47" s="1"/>
    </row>
    <row r="48" spans="1:8" x14ac:dyDescent="0.25">
      <c r="A48" s="1"/>
      <c r="B48" s="1"/>
      <c r="C48" s="1"/>
      <c r="D48" s="1"/>
      <c r="E48" s="1"/>
      <c r="F48" s="1"/>
      <c r="G48" s="1"/>
      <c r="H48" s="1"/>
    </row>
    <row r="49" spans="1:8" x14ac:dyDescent="0.25">
      <c r="A49" s="1"/>
      <c r="B49" s="1"/>
      <c r="C49" s="1"/>
      <c r="D49" s="1"/>
      <c r="E49" s="1"/>
      <c r="F49" s="1"/>
      <c r="G49" s="1"/>
      <c r="H49" s="1"/>
    </row>
    <row r="50" spans="1:8" x14ac:dyDescent="0.25">
      <c r="A50" s="1"/>
      <c r="B50" s="1"/>
      <c r="C50" s="1"/>
      <c r="D50" s="1"/>
      <c r="E50" s="1"/>
      <c r="F50" s="1"/>
      <c r="G50" s="1"/>
      <c r="H50" s="1"/>
    </row>
  </sheetData>
  <sheetProtection algorithmName="SHA-512" hashValue="V3fCBPABKq8kIBZk4STFhiBmWLypllwx+UjzxsXIMXelvYA4cbTRgbqsEshxTa1xDaCvVS+jB0XfXcg5C7mHjg==" saltValue="pdX0bf6By3MWvdUpBSlklA==" spinCount="100000" sheet="1" objects="1" scenarios="1"/>
  <mergeCells count="3">
    <mergeCell ref="B3:G4"/>
    <mergeCell ref="B8:G8"/>
    <mergeCell ref="B11:G12"/>
  </mergeCells>
  <pageMargins left="0.70866141732283461" right="0.70866141732283461"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18</vt:i4>
      </vt:variant>
      <vt:variant>
        <vt:lpstr>Navngivne områder</vt:lpstr>
      </vt:variant>
      <vt:variant>
        <vt:i4>7</vt:i4>
      </vt:variant>
    </vt:vector>
  </HeadingPairs>
  <TitlesOfParts>
    <vt:vector size="25" baseType="lpstr">
      <vt:lpstr>1. Forside</vt:lpstr>
      <vt:lpstr>Fane 2.1. Økonomisk ramme 2024</vt:lpstr>
      <vt:lpstr>Fane 2.2. Økonomisk ramme 2025</vt:lpstr>
      <vt:lpstr>Fane 2.3. Økonomisk ramme 2026</vt:lpstr>
      <vt:lpstr>Fane 2.4. Økonomisk ramme 2027</vt:lpstr>
      <vt:lpstr>Fane 3. Omkostninger i ØR2023</vt:lpstr>
      <vt:lpstr>Fane 4.1. Gen. krav - drift</vt:lpstr>
      <vt:lpstr>Fane 4.2. Gen. krav - anlæg</vt:lpstr>
      <vt:lpstr>Fane 5. Individuelt eff. krav</vt:lpstr>
      <vt:lpstr>Fane 6. Ikke-påvirkelige omk.</vt:lpstr>
      <vt:lpstr>Fane 7. Kontrol af ØR2022</vt:lpstr>
      <vt:lpstr>Fane 8. Skattesagen</vt:lpstr>
      <vt:lpstr>Fane 9. Anlægsprojekter (§ 19) </vt:lpstr>
      <vt:lpstr>Fane 10.1. Varige tillæg</vt:lpstr>
      <vt:lpstr>Fane 10.2. Engangstillæg</vt:lpstr>
      <vt:lpstr>Fane 11. Tilknyttet virksomhed</vt:lpstr>
      <vt:lpstr>Fane 12. Bortfald</vt:lpstr>
      <vt:lpstr>Fane 13. Nøgletal</vt:lpstr>
      <vt:lpstr>Tabel_Fane_11</vt:lpstr>
      <vt:lpstr>Tabel_Fane_12</vt:lpstr>
      <vt:lpstr>Tabel_Fane_2_1</vt:lpstr>
      <vt:lpstr>Tabel_Fane_2_2</vt:lpstr>
      <vt:lpstr>Tabel_Fane_2_3</vt:lpstr>
      <vt:lpstr>Tabel_Fane_2_4</vt:lpstr>
      <vt:lpstr>Tabel_Fane_3</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Rikke Bachmann Jørgensen</cp:lastModifiedBy>
  <cp:lastPrinted>2016-06-14T12:57:30Z</cp:lastPrinted>
  <dcterms:created xsi:type="dcterms:W3CDTF">2016-06-02T08:51:18Z</dcterms:created>
  <dcterms:modified xsi:type="dcterms:W3CDTF">2023-10-11T10:43:04Z</dcterms:modified>
</cp:coreProperties>
</file>