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olrød Vandværk a.m.b.a. (V17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12" i="10" l="1"/>
  <c r="C12" i="10"/>
  <c r="E33" i="8" l="1"/>
  <c r="E25" i="8" l="1"/>
  <c r="E35" i="8" s="1"/>
  <c r="E20" i="5" l="1"/>
  <c r="E20" i="4"/>
  <c r="E21" i="3"/>
  <c r="E29" i="8"/>
  <c r="E25" i="2" s="1"/>
  <c r="C12" i="7"/>
  <c r="E10" i="2" l="1"/>
  <c r="E14" i="6"/>
  <c r="C11" i="12" l="1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<sst xmlns="http://schemas.openxmlformats.org/spreadsheetml/2006/main" count="404" uniqueCount="153">
  <si>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</si>
  <si>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</si>
  <si>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</si>
  <si>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</si>
  <si>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</si>
  <si>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</si>
  <si>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</si>
  <si>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</si>
  <si>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</si>
  <si>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</si>
  <si>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</si>
  <si>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</si>
  <si>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</si>
  <si>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</si>
  <si>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</si>
  <si>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</si>
  <si>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</si>
  <si>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</si>
  <si>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</si>
  <si>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</si>
  <si>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</si>
  <si>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</si>
  <si>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</si>
  <si>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</si>
  <si>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</si>
  <si>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</si>
  <si>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</si>
  <si>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</si>
  <si>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</si>
  <si>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</si>
  <si>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</si>
  <si>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</si>
  <si>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</si>
  <si>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</si>
  <si>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</si>
  <si>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</si>
  <si>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</si>
  <si>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</si>
  <si>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</si>
  <si>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</si>
  <si>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</si>
  <si>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</si>
  <si>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</si>
  <si>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</si>
  <si>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</si>
  <si>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</si>
  <si>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</si>
  <si>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</si>
  <si>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</si>
  <si>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</si>
  <si>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</si>
  <si>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</si>
  <si>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</si>
  <si>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</si>
  <si>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</si>
  <si>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</si>
  <si>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</si>
  <si>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</si>
  <si>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</si>
  <si>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</si>
  <si>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</si>
  <si>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</si>
  <si>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</si>
  <si>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</si>
  <si>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</si>
  <si>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</si>
  <si>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</si>
  <si>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</si>
  <si>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</si>
  <si>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</si>
  <si>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</si>
  <si>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</si>
  <si>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</si>
  <si>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</si>
  <si>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</si>
  <si>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</si>
  <si>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</si>
  <si>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</si>
  <si>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</si>
  <si>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</si>
  <si>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</si>
  <si>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</si>
  <si>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</si>
  <si>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</si>
  <si>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</si>
  <si>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</si>
  <si>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</si>
  <si>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</si>
  <si>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</si>
  <si>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</si>
  <si>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</si>
  <si>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</si>
  <si>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</si>
  <si>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</si>
  <si>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</si>
  <si>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</si>
  <si>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</si>
  <si>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</si>
  <si>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</si>
  <si>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</si>
  <si>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</si>
  <si>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</si>
  <si>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</si>
  <si>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</si>
  <si>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</si>
  <si>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</si>
  <si>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</si>
  <si>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</si>
  <si>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</si>
  <si>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</si>
  <si>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</si>
  <si>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</si>
  <si>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</si>
  <si>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</si>
  <si>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</si>
  <si>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</si>
  <si>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</si>
  <si>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</si>
  <si>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</si>
  <si>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</si>
  <si>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</si>
  <si>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</si>
  <si>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</si>
  <si>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</si>
  <si>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</si>
  <si>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</si>
  <si>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</si>
  <si>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</si>
  <si>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</si>
  <si>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</si>
  <si>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</si>
  <si>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</si>
  <si>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</si>
  <si>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</si>
  <si>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</si>
  <si>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</si>
  <si>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</si>
  <si>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</si>
  <si>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</si>
  <si>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</si>
  <si>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</si>
  <si>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</si>
  <si>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</si>
  <si>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</si>
  <si>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</si>
  <si>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</si>
  <si>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</si>
  <si>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</si>
  <si>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</si>
  <si>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</si>
  <si>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</si>
  <si>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</si>
  <si>
    <t>Etapeudvidelse af Trylleskov Strand, Troldmands 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</si>
</sst>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wrapText="1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2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25">
      <c r="A8" s="1"/>
      <c r="B8" s="1"/>
      <c r="C8" s="4"/>
      <c r="D8" s="67" t="s">
        <v>94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9" t="s">
        <v>87</v>
      </c>
      <c r="E13" s="60"/>
      <c r="F13" s="60"/>
      <c r="G13" s="61"/>
      <c r="H13" s="1"/>
      <c r="I13" s="1"/>
    </row>
    <row r="14" spans="1:9" x14ac:dyDescent="0.25">
      <c r="A14" s="1"/>
      <c r="B14" s="1"/>
      <c r="C14" s="6" t="s">
        <v>15</v>
      </c>
      <c r="D14" s="59" t="s">
        <v>37</v>
      </c>
      <c r="E14" s="60"/>
      <c r="F14" s="60"/>
      <c r="G14" s="61"/>
      <c r="H14" s="1"/>
      <c r="I14" s="1"/>
    </row>
    <row r="15" spans="1:9" x14ac:dyDescent="0.25">
      <c r="A15" s="1"/>
      <c r="B15" s="1"/>
      <c r="C15" s="6" t="s">
        <v>32</v>
      </c>
      <c r="D15" s="59" t="s">
        <v>63</v>
      </c>
      <c r="E15" s="60"/>
      <c r="F15" s="60"/>
      <c r="G15" s="61"/>
      <c r="H15" s="1"/>
      <c r="I15" s="1"/>
    </row>
    <row r="16" spans="1:9" x14ac:dyDescent="0.25">
      <c r="A16" s="1"/>
      <c r="B16" s="1"/>
      <c r="C16" s="6" t="s">
        <v>33</v>
      </c>
      <c r="D16" s="59" t="s">
        <v>95</v>
      </c>
      <c r="E16" s="60"/>
      <c r="F16" s="60"/>
      <c r="G16" s="61"/>
      <c r="H16" s="1"/>
      <c r="I16" s="1"/>
    </row>
    <row r="17" spans="1:9" x14ac:dyDescent="0.25">
      <c r="A17" s="1"/>
      <c r="B17" s="1"/>
      <c r="C17" s="6" t="s">
        <v>59</v>
      </c>
      <c r="D17" s="59" t="s">
        <v>96</v>
      </c>
      <c r="E17" s="60"/>
      <c r="F17" s="60"/>
      <c r="G17" s="61"/>
      <c r="H17" s="1"/>
      <c r="I17" s="1"/>
    </row>
    <row r="18" spans="1:9" x14ac:dyDescent="0.25">
      <c r="A18" s="1"/>
      <c r="B18" s="1"/>
      <c r="C18" s="6" t="s">
        <v>7</v>
      </c>
      <c r="D18" s="71" t="s">
        <v>12</v>
      </c>
      <c r="E18" s="72"/>
      <c r="F18" s="72"/>
      <c r="G18" s="73"/>
      <c r="H18" s="1"/>
      <c r="I18" s="1"/>
    </row>
    <row r="19" spans="1:9" x14ac:dyDescent="0.25">
      <c r="A19" s="1"/>
      <c r="B19" s="1"/>
      <c r="C19" s="6" t="s">
        <v>8</v>
      </c>
      <c r="D19" s="63" t="s">
        <v>97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56</v>
      </c>
      <c r="D20" s="63" t="s">
        <v>34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82</v>
      </c>
      <c r="D21" s="63" t="s">
        <v>41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83</v>
      </c>
      <c r="D22" s="63" t="s">
        <v>42</v>
      </c>
      <c r="E22" s="64"/>
      <c r="F22" s="64"/>
      <c r="G22" s="65"/>
      <c r="H22" s="1"/>
      <c r="I22" s="1"/>
    </row>
    <row r="23" spans="1:9" x14ac:dyDescent="0.25">
      <c r="A23" s="1"/>
      <c r="B23" s="1"/>
      <c r="C23" s="6" t="s">
        <v>84</v>
      </c>
      <c r="D23" s="63" t="s">
        <v>64</v>
      </c>
      <c r="E23" s="64"/>
      <c r="F23" s="64"/>
      <c r="G23" s="65"/>
      <c r="H23" s="1"/>
      <c r="I23" s="1"/>
    </row>
    <row r="24" spans="1:9" x14ac:dyDescent="0.25">
      <c r="A24" s="1"/>
      <c r="B24" s="1"/>
      <c r="C24" s="6" t="s">
        <v>9</v>
      </c>
      <c r="D24" s="63" t="s">
        <v>35</v>
      </c>
      <c r="E24" s="64"/>
      <c r="F24" s="64"/>
      <c r="G24" s="65"/>
      <c r="H24" s="1"/>
      <c r="I24" s="1"/>
    </row>
    <row r="25" spans="1:9" x14ac:dyDescent="0.25">
      <c r="A25" s="1"/>
      <c r="B25" s="1"/>
      <c r="C25" s="6" t="s">
        <v>50</v>
      </c>
      <c r="D25" s="68" t="s">
        <v>57</v>
      </c>
      <c r="E25" s="69"/>
      <c r="F25" s="69"/>
      <c r="G25" s="7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Ylwo9PB8kZFDG9vRAuJzGOhz5BHTsK7p/er5GLg8WpM4mo7emLbFM5hEj5tQd+SkMcS1SIKDKKtteS+xXso1Q==" saltValue="SvJXBupb6PPMaqnPfmbK4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ht="26.25" x14ac:dyDescent="0.25">
      <c r="A11" s="1"/>
      <c r="B11" s="58" t="s">
        <v>152</v>
      </c>
      <c r="C11" s="19">
        <v>0</v>
      </c>
      <c r="D11" s="12" t="s">
        <v>3</v>
      </c>
      <c r="E11" s="8">
        <v>18181</v>
      </c>
      <c r="F11" s="12" t="s">
        <v>3</v>
      </c>
      <c r="G11" s="1"/>
    </row>
    <row r="12" spans="1:7" x14ac:dyDescent="0.25">
      <c r="A12" s="1"/>
      <c r="B12" s="56" t="s">
        <v>69</v>
      </c>
      <c r="C12" s="10">
        <f>SUM(C10:C11)</f>
        <v>0</v>
      </c>
      <c r="D12" s="11" t="s">
        <v>3</v>
      </c>
      <c r="E12" s="10">
        <f>SUM(E10:E11)</f>
        <v>18181</v>
      </c>
      <c r="F12" s="11" t="s">
        <v>3</v>
      </c>
      <c r="G12" s="1"/>
    </row>
    <row r="13" spans="1:7" x14ac:dyDescent="0.25">
      <c r="A13" s="1"/>
      <c r="B13" s="56" t="s">
        <v>110</v>
      </c>
      <c r="C13" s="10">
        <f>C12*(1+'Fane 10. Nøgletal'!C14)</f>
        <v>0</v>
      </c>
      <c r="D13" s="11" t="s">
        <v>3</v>
      </c>
      <c r="E13" s="10">
        <f>E12*(1+'Fane 10. Nøgletal'!C14)</f>
        <v>18240.997300000003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+uR3Ctt5i+VxK7QXjog0KBorcDQymLB9z5qTSU6n41LJM39aN8H48IoowWAO3usJq1WJ1ExKw4+AdCZWxCfVpw==" saltValue="ADdDblhUheJzayokSmgX/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51</v>
      </c>
      <c r="C8" s="90"/>
      <c r="D8" s="90"/>
      <c r="E8" s="90"/>
      <c r="F8" s="91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52</v>
      </c>
      <c r="C15" s="90"/>
      <c r="D15" s="90"/>
      <c r="E15" s="90"/>
      <c r="F15" s="91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2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9" t="s">
        <v>77</v>
      </c>
      <c r="C22" s="90"/>
      <c r="D22" s="90"/>
      <c r="E22" s="90"/>
      <c r="F22" s="91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2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9" t="s">
        <v>112</v>
      </c>
      <c r="C29" s="90"/>
      <c r="D29" s="90"/>
      <c r="E29" s="90"/>
      <c r="F29" s="91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2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twmnhTIemMFpracymq8a2pwNCj9Xv2CWcmU96om/lfbJbr/wZ902wXZ1urSwsn3Vp88EoPsh4ugyq433Z/4Gw==" saltValue="Ropwx4+GyRukhl/6a57Zt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25">
      <c r="A9" s="1"/>
      <c r="B9" s="54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l60QEcAmmpr4pm/7rI1VIlLM6RAB6Q6nMR0M68T6q401LogZpjsusfbOHGlZlyLeTt6HIJpHyUXDm+kq/eF0cA==" saltValue="R+02LkqaIRjQp8uGeG3kc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2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49</v>
      </c>
      <c r="C14" s="90"/>
      <c r="D14" s="90"/>
      <c r="E14" s="90"/>
      <c r="F14" s="91"/>
      <c r="G14" s="1"/>
    </row>
    <row r="15" spans="1:7" ht="26.25" x14ac:dyDescent="0.2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2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73</v>
      </c>
      <c r="C20" s="90"/>
      <c r="D20" s="90"/>
      <c r="E20" s="90"/>
      <c r="F20" s="91"/>
      <c r="G20" s="1"/>
    </row>
    <row r="21" spans="1:7" ht="26.25" x14ac:dyDescent="0.2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2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26.25" x14ac:dyDescent="0.2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2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qyo4xYMnMOhp+1TSEOJ+pXHpaq5ZMiKzH39OlgIHsrTVhuBrEFRyY0z8eMyn8zS2NpRvrTKDkLucr1b88JWPw==" saltValue="VQ4dyWH3g11tUUeUn5+Vf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7" t="s">
        <v>93</v>
      </c>
      <c r="C3" s="87"/>
      <c r="D3" s="1"/>
    </row>
    <row r="4" spans="1:4" ht="25.5" customHeight="1" x14ac:dyDescent="0.25">
      <c r="A4" s="1"/>
      <c r="B4" s="87"/>
      <c r="C4" s="8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57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6"/>
      <c r="C15" s="5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54</v>
      </c>
      <c r="C18" s="57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7"/>
      <c r="C20" s="108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MGCIISFKeT1VHiPq3SUL/Qcm9y2LwBuR2SHeR57IcZ3ufemflxbCaLIKvKGYp2koDYoYqcHaUpmz6gVBWrgGBA==" saltValue="BGMYVWf2pKlxD1iqkypZz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x14ac:dyDescent="0.25">
      <c r="A9" s="1"/>
      <c r="B9" s="39" t="s">
        <v>24</v>
      </c>
      <c r="C9" s="39"/>
      <c r="D9" s="39"/>
      <c r="E9" s="7">
        <f>'Fane 3. Omkostninger i ØR2021'!E16</f>
        <v>10018762.874599349</v>
      </c>
      <c r="F9" s="39" t="s">
        <v>3</v>
      </c>
      <c r="G9" s="1"/>
    </row>
    <row r="10" spans="1:7" ht="17.100000000000001" customHeight="1" x14ac:dyDescent="0.2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25">
      <c r="A11" s="1"/>
      <c r="B11" s="29" t="s">
        <v>60</v>
      </c>
      <c r="C11" s="39"/>
      <c r="D11" s="39"/>
      <c r="E11" s="7">
        <f>'Fane 7.1. Varige tillæg'!C13+'Fane 7.1. Varige tillæg'!E13</f>
        <v>18240.997300000003</v>
      </c>
      <c r="F11" s="39" t="s">
        <v>3</v>
      </c>
      <c r="G11" s="1"/>
    </row>
    <row r="12" spans="1:7" ht="17.100000000000001" customHeight="1" x14ac:dyDescent="0.2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9" t="s">
        <v>18</v>
      </c>
      <c r="C14" s="39"/>
      <c r="D14" s="39"/>
      <c r="E14" s="8">
        <f>E9*'Fane 10. Nøgletal'!C13+SUM(E11:E13)*'Fane 10. Nøgletal'!C14</f>
        <v>122289.10236120207</v>
      </c>
      <c r="F14" s="39" t="s">
        <v>3</v>
      </c>
      <c r="G14" s="1"/>
    </row>
    <row r="15" spans="1:7" ht="17.100000000000001" customHeight="1" x14ac:dyDescent="0.25">
      <c r="A15" s="1"/>
      <c r="B15" s="29" t="s">
        <v>54</v>
      </c>
      <c r="C15" s="39"/>
      <c r="D15" s="39"/>
      <c r="E15" s="8">
        <f>-SUM(E9,E11:E14)*'Fane 10. Nøgletal'!C19</f>
        <v>-172707.98056242938</v>
      </c>
      <c r="F15" s="39" t="s">
        <v>3</v>
      </c>
      <c r="G15" s="1"/>
    </row>
    <row r="16" spans="1:7" ht="15" customHeight="1" x14ac:dyDescent="0.25">
      <c r="A16" s="1"/>
      <c r="B16" s="50" t="s">
        <v>20</v>
      </c>
      <c r="C16" s="41"/>
      <c r="D16" s="41"/>
      <c r="E16" s="9">
        <f>SUM(E9,E11:E15)</f>
        <v>9986584.993698122</v>
      </c>
      <c r="F16" s="43" t="s">
        <v>3</v>
      </c>
      <c r="G16" s="1"/>
    </row>
    <row r="17" spans="1:7" ht="15" customHeight="1" x14ac:dyDescent="0.2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25">
      <c r="A18" s="1"/>
      <c r="B18" s="43" t="s">
        <v>12</v>
      </c>
      <c r="C18" s="43"/>
      <c r="D18" s="43"/>
      <c r="E18" s="9">
        <f>'Fane 4. Ikke-påvirkelige omk.'!C13</f>
        <v>4893043.934699011</v>
      </c>
      <c r="F18" s="43" t="s">
        <v>3</v>
      </c>
      <c r="G18" s="1"/>
    </row>
    <row r="19" spans="1:7" ht="15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2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50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0" t="s">
        <v>31</v>
      </c>
      <c r="C24" s="41"/>
      <c r="D24" s="41"/>
      <c r="E24" s="9">
        <v>1472902.2135431205</v>
      </c>
      <c r="F24" s="43" t="s">
        <v>3</v>
      </c>
      <c r="G24" s="1"/>
    </row>
    <row r="25" spans="1:7" x14ac:dyDescent="0.25">
      <c r="A25" s="1"/>
      <c r="B25" s="50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43" t="s">
        <v>148</v>
      </c>
      <c r="C27" s="43"/>
      <c r="D27" s="43"/>
      <c r="E27" s="9">
        <v>0</v>
      </c>
      <c r="F27" s="43" t="s">
        <v>3</v>
      </c>
      <c r="G27" s="1"/>
    </row>
    <row r="28" spans="1:7" x14ac:dyDescent="0.25">
      <c r="A28" s="1"/>
      <c r="B28" s="42" t="s">
        <v>26</v>
      </c>
      <c r="C28" s="42"/>
      <c r="D28" s="42"/>
      <c r="E28" s="10">
        <f>SUM(E16,E18,E22,E24,E25,E27)</f>
        <v>16352531.141940255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Mbnvs9rG6ihIdq0It4VF5JtNp59gBxXCKUclTq2wVVxCrQCzolEgWgEYqW6JdwvApOwH4NjEunlPlCJfvVARuA==" saltValue="jhREGLSnVsiYducbNXiq6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101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25">
      <c r="A9" s="1"/>
      <c r="B9" s="39" t="s">
        <v>66</v>
      </c>
      <c r="C9" s="39"/>
      <c r="D9" s="39"/>
      <c r="E9" s="7">
        <f>'Fane 2.1. Økonomisk ramme 2022'!E16</f>
        <v>9986584.993698122</v>
      </c>
      <c r="F9" s="39" t="s">
        <v>3</v>
      </c>
      <c r="G9" s="1"/>
    </row>
    <row r="10" spans="1:7" ht="15" customHeight="1" x14ac:dyDescent="0.2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40" t="s">
        <v>18</v>
      </c>
      <c r="C11" s="39"/>
      <c r="D11" s="39"/>
      <c r="E11" s="8">
        <f>SUM(E9:E10)*'Fane 10. Nøgletal'!C14</f>
        <v>32955.730479203805</v>
      </c>
      <c r="F11" s="39" t="s">
        <v>3</v>
      </c>
      <c r="G11" s="1"/>
    </row>
    <row r="12" spans="1:7" ht="15" customHeight="1" x14ac:dyDescent="0.25">
      <c r="A12" s="1"/>
      <c r="B12" s="40" t="s">
        <v>54</v>
      </c>
      <c r="C12" s="39"/>
      <c r="D12" s="39"/>
      <c r="E12" s="8">
        <f>-SUM(E9:E11)*'Fane 10. Nøgletal'!C19</f>
        <v>-170332.19231101454</v>
      </c>
      <c r="F12" s="39" t="s">
        <v>3</v>
      </c>
      <c r="G12" s="1"/>
    </row>
    <row r="13" spans="1:7" ht="15" customHeight="1" x14ac:dyDescent="0.25">
      <c r="A13" s="1"/>
      <c r="B13" s="41" t="s">
        <v>20</v>
      </c>
      <c r="C13" s="41"/>
      <c r="D13" s="41"/>
      <c r="E13" s="9">
        <f>SUM(E9:E12)</f>
        <v>9849208.5318663102</v>
      </c>
      <c r="F13" s="43" t="s">
        <v>3</v>
      </c>
      <c r="G13" s="1"/>
    </row>
    <row r="14" spans="1:7" x14ac:dyDescent="0.2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25">
      <c r="A15" s="1"/>
      <c r="B15" s="43" t="s">
        <v>12</v>
      </c>
      <c r="C15" s="43"/>
      <c r="D15" s="43"/>
      <c r="E15" s="9">
        <f>'Fane 4. Ikke-påvirkelige omk.'!C13*(1+'Fane 10. Nøgletal'!C14)</f>
        <v>4909190.9796835184</v>
      </c>
      <c r="F15" s="43" t="s">
        <v>3</v>
      </c>
      <c r="G15" s="1"/>
    </row>
    <row r="16" spans="1:7" ht="15" customHeight="1" x14ac:dyDescent="0.2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2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50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25">
      <c r="A20" s="1"/>
      <c r="B20" s="42" t="s">
        <v>85</v>
      </c>
      <c r="C20" s="42"/>
      <c r="D20" s="42"/>
      <c r="E20" s="42"/>
      <c r="F20" s="42"/>
      <c r="G20" s="1"/>
    </row>
    <row r="21" spans="1:7" x14ac:dyDescent="0.25">
      <c r="A21" s="1"/>
      <c r="B21" s="43" t="s">
        <v>149</v>
      </c>
      <c r="C21" s="43"/>
      <c r="D21" s="43"/>
      <c r="E21" s="9">
        <f>'Fane 5. Kontrol af ØR2020'!E35</f>
        <v>-450154.70436446089</v>
      </c>
      <c r="F21" s="43" t="s">
        <v>3</v>
      </c>
      <c r="G21" s="1"/>
    </row>
    <row r="22" spans="1:7" x14ac:dyDescent="0.25">
      <c r="A22" s="1"/>
      <c r="B22" s="42" t="s">
        <v>47</v>
      </c>
      <c r="C22" s="42"/>
      <c r="D22" s="42"/>
      <c r="E22" s="10">
        <f>SUM(E13,E15,E19,E21)</f>
        <v>14308244.807185367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p8Mc8Cb0U5yWR6HVui7WIE0kpIfNkkbvUv+gOjJWJ2WDiAOsuHsDdkqHoo13w7yn6dmjelgfL4G7bIRF5xIDqg==" saltValue="Uyc7ZV1aq70SE+sT/3OBH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67</v>
      </c>
      <c r="C8" s="39"/>
      <c r="D8" s="39"/>
      <c r="E8" s="7">
        <f>'Fane 2.2. Økonomisk ramme 2023'!E13</f>
        <v>9849208.5318663102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32502.388155158824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-167989.08564036497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9713721.8343811035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Nøgletal'!C14)^2</f>
        <v>4925391.3099164739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-450154.70436446089</v>
      </c>
      <c r="F20" s="43" t="s">
        <v>3</v>
      </c>
      <c r="G20" s="1"/>
    </row>
    <row r="21" spans="1:7" x14ac:dyDescent="0.25">
      <c r="A21" s="1"/>
      <c r="B21" s="42" t="s">
        <v>68</v>
      </c>
      <c r="C21" s="42"/>
      <c r="D21" s="42"/>
      <c r="E21" s="10">
        <f>SUM(E12,E14,E18,E20)</f>
        <v>14188958.439933117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0WToBsRAELs8iAGQE0DlYl6YyquSFfiUvy+PL7ljVvdsPm5jCTi/AaiI4MAhK9iKdkM+KWjZeDAkiCqtDFx4SA==" saltValue="kDBO+JRKVmzWvOayhVzyT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103</v>
      </c>
      <c r="C8" s="39"/>
      <c r="D8" s="39"/>
      <c r="E8" s="7">
        <f>'Fane 2.3. Økonomisk ramme 2024'!E12</f>
        <v>9713721.8343811035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32055.282053457642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-165678.21097938754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9580098.9054551739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Nøgletal'!C14)^3</f>
        <v>4941645.1012391988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-450154.70436446089</v>
      </c>
      <c r="F20" s="43" t="s">
        <v>3</v>
      </c>
      <c r="G20" s="1"/>
    </row>
    <row r="21" spans="1:7" x14ac:dyDescent="0.25">
      <c r="A21" s="1"/>
      <c r="B21" s="42" t="s">
        <v>104</v>
      </c>
      <c r="C21" s="42"/>
      <c r="D21" s="42"/>
      <c r="E21" s="10">
        <f>SUM(E12,E14,E18,E20)</f>
        <v>14071589.302329913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7T+QhBxOAwvPSzEXkTSvoD1BlVjSlh6yrazuCVheHBY8+yk0NYcS1OTZ+0wfngQ0nHF0DfCBAWWnrqCaq3glcg==" saltValue="cBYDo4hA9s7zomuSvS2/V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105</v>
      </c>
      <c r="C3" s="87"/>
      <c r="D3" s="87"/>
      <c r="E3" s="87"/>
      <c r="F3" s="87"/>
      <c r="G3" s="1"/>
    </row>
    <row r="4" spans="1:7" ht="29.2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126</v>
      </c>
      <c r="C8" s="42"/>
      <c r="D8" s="42"/>
      <c r="E8" s="42"/>
      <c r="F8" s="42"/>
      <c r="G8" s="1"/>
    </row>
    <row r="9" spans="1:7" x14ac:dyDescent="0.25">
      <c r="A9" s="1"/>
      <c r="B9" s="88" t="s">
        <v>23</v>
      </c>
      <c r="C9" s="88"/>
      <c r="D9" s="88"/>
      <c r="E9" s="7">
        <v>9877245.5044840053</v>
      </c>
      <c r="F9" s="39" t="s">
        <v>3</v>
      </c>
      <c r="G9" s="1"/>
    </row>
    <row r="10" spans="1:7" x14ac:dyDescent="0.25">
      <c r="A10" s="1"/>
      <c r="B10" s="77" t="s">
        <v>128</v>
      </c>
      <c r="C10" s="77"/>
      <c r="D10" s="77"/>
      <c r="E10" s="7">
        <v>191937.79858714147</v>
      </c>
      <c r="F10" s="39" t="s">
        <v>3</v>
      </c>
      <c r="G10" s="1"/>
    </row>
    <row r="11" spans="1:7" x14ac:dyDescent="0.25">
      <c r="A11" s="1"/>
      <c r="B11" s="77" t="s">
        <v>60</v>
      </c>
      <c r="C11" s="77"/>
      <c r="D11" s="77"/>
      <c r="E11" s="7">
        <v>0</v>
      </c>
      <c r="F11" s="39" t="s">
        <v>3</v>
      </c>
      <c r="G11" s="1"/>
    </row>
    <row r="12" spans="1:7" x14ac:dyDescent="0.25">
      <c r="A12" s="1"/>
      <c r="B12" s="77" t="s">
        <v>65</v>
      </c>
      <c r="C12" s="77"/>
      <c r="D12" s="77"/>
      <c r="E12" s="7">
        <v>0</v>
      </c>
      <c r="F12" s="39" t="s">
        <v>3</v>
      </c>
      <c r="G12" s="1"/>
    </row>
    <row r="13" spans="1:7" x14ac:dyDescent="0.25">
      <c r="A13" s="1"/>
      <c r="B13" s="77" t="s">
        <v>61</v>
      </c>
      <c r="C13" s="77"/>
      <c r="D13" s="77"/>
      <c r="E13" s="8">
        <v>0</v>
      </c>
      <c r="F13" s="39" t="s">
        <v>3</v>
      </c>
      <c r="G13" s="1"/>
    </row>
    <row r="14" spans="1:7" x14ac:dyDescent="0.25">
      <c r="A14" s="1"/>
      <c r="B14" s="77" t="s">
        <v>18</v>
      </c>
      <c r="C14" s="77"/>
      <c r="D14" s="77"/>
      <c r="E14" s="8">
        <f>SUM(E9:E13)*'Fane 10. Nøgletal'!C13</f>
        <v>122844.036297468</v>
      </c>
      <c r="F14" s="39" t="s">
        <v>3</v>
      </c>
      <c r="G14" s="1"/>
    </row>
    <row r="15" spans="1:7" x14ac:dyDescent="0.25">
      <c r="A15" s="1"/>
      <c r="B15" s="77" t="s">
        <v>54</v>
      </c>
      <c r="C15" s="77"/>
      <c r="D15" s="77"/>
      <c r="E15" s="8">
        <f>-SUM(E9:E14)*'Fane 10. Nøgletal'!C19</f>
        <v>-173264.46476926646</v>
      </c>
      <c r="F15" s="39" t="s">
        <v>3</v>
      </c>
      <c r="G15" s="1"/>
    </row>
    <row r="16" spans="1:7" x14ac:dyDescent="0.25">
      <c r="A16" s="1"/>
      <c r="B16" s="78" t="s">
        <v>20</v>
      </c>
      <c r="C16" s="78"/>
      <c r="D16" s="78"/>
      <c r="E16" s="9">
        <f>SUM(E9:E15)</f>
        <v>10018762.874599349</v>
      </c>
      <c r="F16" s="43" t="s">
        <v>3</v>
      </c>
      <c r="G16" s="1"/>
    </row>
    <row r="17" spans="1:7" x14ac:dyDescent="0.25">
      <c r="A17" s="1"/>
      <c r="B17" s="79" t="s">
        <v>12</v>
      </c>
      <c r="C17" s="79"/>
      <c r="D17" s="79"/>
      <c r="E17" s="42"/>
      <c r="F17" s="42"/>
      <c r="G17" s="1"/>
    </row>
    <row r="18" spans="1:7" x14ac:dyDescent="0.25">
      <c r="A18" s="1"/>
      <c r="B18" s="80" t="s">
        <v>12</v>
      </c>
      <c r="C18" s="80"/>
      <c r="D18" s="80"/>
      <c r="E18" s="9">
        <v>5102747.0557408798</v>
      </c>
      <c r="F18" s="43" t="s">
        <v>3</v>
      </c>
      <c r="G18" s="1"/>
    </row>
    <row r="19" spans="1:7" ht="15.4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25">
      <c r="A20" s="1"/>
      <c r="B20" s="81" t="s">
        <v>39</v>
      </c>
      <c r="C20" s="82"/>
      <c r="D20" s="83"/>
      <c r="E20" s="35">
        <v>0</v>
      </c>
      <c r="F20" s="32" t="s">
        <v>3</v>
      </c>
      <c r="G20" s="1"/>
    </row>
    <row r="21" spans="1:7" x14ac:dyDescent="0.25">
      <c r="A21" s="1"/>
      <c r="B21" s="81" t="s">
        <v>40</v>
      </c>
      <c r="C21" s="82"/>
      <c r="D21" s="83"/>
      <c r="E21" s="35">
        <v>0</v>
      </c>
      <c r="F21" s="32" t="s">
        <v>3</v>
      </c>
      <c r="G21" s="1"/>
    </row>
    <row r="22" spans="1:7" x14ac:dyDescent="0.25">
      <c r="A22" s="1"/>
      <c r="B22" s="84" t="s">
        <v>43</v>
      </c>
      <c r="C22" s="85"/>
      <c r="D22" s="86"/>
      <c r="E22" s="9">
        <v>0</v>
      </c>
      <c r="F22" s="9" t="s">
        <v>3</v>
      </c>
      <c r="G22" s="1"/>
    </row>
    <row r="23" spans="1:7" ht="15.75" customHeight="1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0" t="s">
        <v>31</v>
      </c>
      <c r="C24" s="41"/>
      <c r="D24" s="41"/>
      <c r="E24" s="9">
        <v>1472902.2135431205</v>
      </c>
      <c r="F24" s="43" t="s">
        <v>3</v>
      </c>
      <c r="G24" s="1"/>
    </row>
    <row r="25" spans="1:7" x14ac:dyDescent="0.25">
      <c r="A25" s="1"/>
      <c r="B25" s="50" t="s">
        <v>86</v>
      </c>
      <c r="C25" s="41"/>
      <c r="D25" s="41"/>
      <c r="E25" s="9">
        <v>-71201.618731291965</v>
      </c>
      <c r="F25" s="43" t="s">
        <v>3</v>
      </c>
      <c r="G25" s="1"/>
    </row>
    <row r="26" spans="1:7" ht="15" customHeight="1" x14ac:dyDescent="0.25">
      <c r="A26" s="1"/>
      <c r="B26" s="42" t="s">
        <v>25</v>
      </c>
      <c r="C26" s="42"/>
      <c r="D26" s="42"/>
      <c r="E26" s="10">
        <f>E16+E18+E22+E24+E25</f>
        <v>16523210.525152057</v>
      </c>
      <c r="F26" s="11" t="s">
        <v>3</v>
      </c>
      <c r="G26" s="1"/>
    </row>
    <row r="27" spans="1:7" ht="27" customHeight="1" x14ac:dyDescent="0.25">
      <c r="A27" s="1"/>
      <c r="B27" s="76" t="s">
        <v>120</v>
      </c>
      <c r="C27" s="76"/>
      <c r="D27" s="76"/>
      <c r="E27" s="76"/>
      <c r="F27" s="76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algorithmName="SHA-512" hashValue="3gVMHolOAK7M/puM2rqAinVm6bsG/xIxYHgpJ/S4Ptd3FME+pouzCsrhneiTPvDZSAagBJTCFSUbOoujEgT+/g==" saltValue="tYQN3uG3AqHsw1xyPyJ4U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53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107</v>
      </c>
      <c r="C8" s="90"/>
      <c r="D8" s="91"/>
      <c r="E8" s="1"/>
      <c r="F8" s="1"/>
    </row>
    <row r="9" spans="1:6" ht="15" customHeight="1" x14ac:dyDescent="0.25">
      <c r="A9" s="1"/>
      <c r="B9" s="17" t="s">
        <v>29</v>
      </c>
      <c r="C9" s="43" t="s">
        <v>106</v>
      </c>
      <c r="D9" s="43"/>
      <c r="E9" s="1"/>
      <c r="F9" s="1"/>
    </row>
    <row r="10" spans="1:6" x14ac:dyDescent="0.25">
      <c r="A10" s="1"/>
      <c r="B10" s="28" t="s">
        <v>131</v>
      </c>
      <c r="C10" s="8">
        <v>4845672</v>
      </c>
      <c r="D10" s="12" t="s">
        <v>3</v>
      </c>
      <c r="E10" s="1"/>
      <c r="F10" s="1"/>
    </row>
    <row r="11" spans="1:6" x14ac:dyDescent="0.25">
      <c r="A11" s="1"/>
      <c r="B11" s="28" t="s">
        <v>132</v>
      </c>
      <c r="C11" s="8">
        <v>15237</v>
      </c>
      <c r="D11" s="12" t="s">
        <v>3</v>
      </c>
      <c r="E11" s="1"/>
      <c r="F11" s="1"/>
    </row>
    <row r="12" spans="1:6" x14ac:dyDescent="0.25">
      <c r="A12" s="1"/>
      <c r="B12" s="56" t="s">
        <v>108</v>
      </c>
      <c r="C12" s="10">
        <f>SUM(C10:C11)</f>
        <v>4860909</v>
      </c>
      <c r="D12" s="11" t="s">
        <v>3</v>
      </c>
      <c r="E12" s="1"/>
      <c r="F12" s="1"/>
    </row>
    <row r="13" spans="1:6" x14ac:dyDescent="0.25">
      <c r="A13" s="1"/>
      <c r="B13" s="56" t="s">
        <v>109</v>
      </c>
      <c r="C13" s="10">
        <f>C12*(1+'Fane 10. Nøgletal'!C14)^2</f>
        <v>4893043.934699011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tvLYAQU33mSRgY0ByrQvNFGm3dKHxW+YBFNhI1fIeKDu3LOZcMzo/aA7/As0ZD+qRbWITA7Eg3H+mIVE1pLwhg==" saltValue="f9qZ7ZrrjNzhY7lT7UcbS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7" t="s">
        <v>151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38"/>
      <c r="C6" s="38"/>
      <c r="D6" s="38"/>
      <c r="E6" s="38"/>
      <c r="F6" s="3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134</v>
      </c>
      <c r="C8" s="90"/>
      <c r="D8" s="90"/>
      <c r="E8" s="90"/>
      <c r="F8" s="91"/>
      <c r="G8" s="1"/>
    </row>
    <row r="9" spans="1:7" x14ac:dyDescent="0.25">
      <c r="A9" s="1"/>
      <c r="B9" s="92" t="s">
        <v>135</v>
      </c>
      <c r="C9" s="93"/>
      <c r="D9" s="94"/>
      <c r="E9" s="8">
        <v>3784581.0620000008</v>
      </c>
      <c r="F9" s="12" t="s">
        <v>3</v>
      </c>
      <c r="G9" s="1"/>
    </row>
    <row r="10" spans="1:7" x14ac:dyDescent="0.25">
      <c r="A10" s="1"/>
      <c r="B10" s="92" t="s">
        <v>136</v>
      </c>
      <c r="C10" s="93"/>
      <c r="D10" s="94"/>
      <c r="E10" s="8">
        <v>-1499776.2994625848</v>
      </c>
      <c r="F10" s="12" t="s">
        <v>3</v>
      </c>
      <c r="G10" s="1"/>
    </row>
    <row r="11" spans="1:7" x14ac:dyDescent="0.25">
      <c r="A11" s="1"/>
      <c r="B11" s="92" t="s">
        <v>137</v>
      </c>
      <c r="C11" s="93"/>
      <c r="D11" s="94"/>
      <c r="E11" s="8">
        <v>-2427208.0227769203</v>
      </c>
      <c r="F11" s="12" t="s">
        <v>3</v>
      </c>
      <c r="G11" s="1"/>
    </row>
    <row r="12" spans="1:7" x14ac:dyDescent="0.25">
      <c r="A12" s="1"/>
      <c r="B12" s="56"/>
      <c r="C12" s="22"/>
      <c r="D12" s="22"/>
      <c r="E12" s="22"/>
      <c r="F12" s="57"/>
      <c r="G12" s="1"/>
    </row>
    <row r="13" spans="1:7" ht="51.75" customHeight="1" x14ac:dyDescent="0.25">
      <c r="A13" s="1"/>
      <c r="B13" s="95" t="s">
        <v>138</v>
      </c>
      <c r="C13" s="96"/>
      <c r="D13" s="96"/>
      <c r="E13" s="96"/>
      <c r="F13" s="97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139</v>
      </c>
      <c r="C15" s="90"/>
      <c r="D15" s="90"/>
      <c r="E15" s="90"/>
      <c r="F15" s="91"/>
      <c r="G15" s="1"/>
    </row>
    <row r="16" spans="1:7" x14ac:dyDescent="0.25">
      <c r="A16" s="1"/>
      <c r="B16" s="92" t="s">
        <v>140</v>
      </c>
      <c r="C16" s="93"/>
      <c r="D16" s="94"/>
      <c r="E16" s="8">
        <v>-71201.618731291965</v>
      </c>
      <c r="F16" s="12" t="s">
        <v>3</v>
      </c>
      <c r="G16" s="1"/>
    </row>
    <row r="17" spans="1:7" x14ac:dyDescent="0.25">
      <c r="A17" s="1"/>
      <c r="B17" s="92" t="s">
        <v>141</v>
      </c>
      <c r="C17" s="93"/>
      <c r="D17" s="94"/>
      <c r="E17" s="8">
        <v>-71201.618731291965</v>
      </c>
      <c r="F17" s="12" t="s">
        <v>3</v>
      </c>
      <c r="G17" s="1"/>
    </row>
    <row r="18" spans="1:7" x14ac:dyDescent="0.25">
      <c r="A18" s="1"/>
      <c r="B18" s="56"/>
      <c r="C18" s="22"/>
      <c r="D18" s="22"/>
      <c r="E18" s="22"/>
      <c r="F18" s="57"/>
      <c r="G18" s="1"/>
    </row>
    <row r="19" spans="1:7" ht="29.25" customHeight="1" x14ac:dyDescent="0.25">
      <c r="A19" s="1"/>
      <c r="B19" s="95" t="s">
        <v>142</v>
      </c>
      <c r="C19" s="96"/>
      <c r="D19" s="96"/>
      <c r="E19" s="96"/>
      <c r="F19" s="9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7" t="s">
        <v>122</v>
      </c>
      <c r="C21" s="48"/>
      <c r="D21" s="48"/>
      <c r="E21" s="48"/>
      <c r="F21" s="49"/>
      <c r="G21" s="1"/>
    </row>
    <row r="22" spans="1:7" x14ac:dyDescent="0.25">
      <c r="A22" s="1"/>
      <c r="B22" s="51" t="s">
        <v>123</v>
      </c>
      <c r="C22" s="52"/>
      <c r="D22" s="53"/>
      <c r="E22" s="8">
        <v>14479709.182542156</v>
      </c>
      <c r="F22" s="12" t="s">
        <v>3</v>
      </c>
      <c r="G22" s="1"/>
    </row>
    <row r="23" spans="1:7" x14ac:dyDescent="0.25">
      <c r="A23" s="1"/>
      <c r="B23" s="51" t="s">
        <v>124</v>
      </c>
      <c r="C23" s="52"/>
      <c r="D23" s="53"/>
      <c r="E23" s="8">
        <v>16280328</v>
      </c>
      <c r="F23" s="12" t="s">
        <v>3</v>
      </c>
      <c r="G23" s="1"/>
    </row>
    <row r="24" spans="1:7" x14ac:dyDescent="0.2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25">
      <c r="A25" s="1"/>
      <c r="B25" s="44" t="s">
        <v>125</v>
      </c>
      <c r="C25" s="45"/>
      <c r="D25" s="46"/>
      <c r="E25" s="34">
        <f>E22-(E23-E24)</f>
        <v>-1800618.8174578436</v>
      </c>
      <c r="F25" s="15" t="s">
        <v>3</v>
      </c>
      <c r="G25" s="1"/>
    </row>
    <row r="26" spans="1:7" x14ac:dyDescent="0.25">
      <c r="A26" s="1"/>
      <c r="B26" s="56"/>
      <c r="C26" s="22"/>
      <c r="D26" s="22"/>
      <c r="E26" s="22"/>
      <c r="F26" s="57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9" t="s">
        <v>143</v>
      </c>
      <c r="C28" s="90"/>
      <c r="D28" s="90"/>
      <c r="E28" s="90"/>
      <c r="F28" s="91"/>
      <c r="G28" s="1"/>
    </row>
    <row r="29" spans="1:7" x14ac:dyDescent="0.25">
      <c r="A29" s="1"/>
      <c r="B29" s="84" t="s">
        <v>144</v>
      </c>
      <c r="C29" s="85"/>
      <c r="D29" s="86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89"/>
      <c r="C30" s="90"/>
      <c r="D30" s="90"/>
      <c r="E30" s="90"/>
      <c r="F30" s="9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145</v>
      </c>
      <c r="C32" s="90"/>
      <c r="D32" s="90"/>
      <c r="E32" s="90"/>
      <c r="F32" s="91"/>
      <c r="G32" s="1"/>
    </row>
    <row r="33" spans="1:7" x14ac:dyDescent="0.2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-1800618.8174578436</v>
      </c>
      <c r="F33" s="12" t="s">
        <v>3</v>
      </c>
      <c r="G33" s="1"/>
    </row>
    <row r="34" spans="1:7" x14ac:dyDescent="0.2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25">
      <c r="A35" s="1"/>
      <c r="B35" s="104" t="s">
        <v>146</v>
      </c>
      <c r="C35" s="104"/>
      <c r="D35" s="104"/>
      <c r="E35" s="9">
        <f>E33/E34</f>
        <v>-450154.70436446089</v>
      </c>
      <c r="F35" s="15" t="s">
        <v>3</v>
      </c>
      <c r="G35" s="1"/>
    </row>
    <row r="36" spans="1:7" x14ac:dyDescent="0.25">
      <c r="A36" s="1"/>
      <c r="B36" s="98"/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8E/OFT+Kt/lMynXl/kaIuIl5HPK9NWj5WnA0lbQre4bDN7Zz/zgbA1Jz/7ch/jp0pbDGOHZ73z1PuYkj7Nejeg==" saltValue="EMvBFHptJOdF+1HCbsOK3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4:D34"/>
    <mergeCell ref="B33:D33"/>
    <mergeCell ref="B32:F32"/>
    <mergeCell ref="B35:D35"/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25">
      <c r="A10" s="1"/>
      <c r="B10" s="36" t="s">
        <v>150</v>
      </c>
      <c r="C10" s="3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2ZOdep0OcwjA4LniXMUXfYoaGzHbiujaCv7F691TWQs9ZIDZGGdiBv/+2MDoWWyFKB2A8rNsZd9hf0K2krnxg==" saltValue="s+U62MRBkm52lg1OFAqDy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2021-10-14T14:19:55Z</dcterms:modified>
</cp:coreProperties>
</file>