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Gentofte AS (S028)\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E35" i="27" l="1"/>
  <c r="C16" i="15" l="1"/>
  <c r="C20" i="23" l="1"/>
  <c r="C20" i="22"/>
  <c r="C20" i="15"/>
  <c r="C32" i="2"/>
  <c r="E24" i="32" l="1"/>
  <c r="E32" i="32" s="1"/>
  <c r="E34" i="32" s="1"/>
  <c r="E28" i="32" l="1"/>
  <c r="E13" i="37"/>
  <c r="E12" i="37"/>
  <c r="C13" i="19"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4" i="37" s="1"/>
  <c r="C15" i="37" l="1"/>
  <c r="C10" i="2" s="1"/>
  <c r="G44" i="30" s="1"/>
  <c r="G35" i="36"/>
  <c r="G37" i="36" l="1"/>
  <c r="E19" i="27" s="1"/>
  <c r="G41" i="36" l="1"/>
  <c r="G27" i="30"/>
  <c r="G31" i="30" l="1"/>
  <c r="E10" i="37"/>
  <c r="E14" i="37" s="1"/>
  <c r="G33" i="30" l="1"/>
  <c r="G37" i="30" s="1"/>
  <c r="G39" i="30" s="1"/>
  <c r="E15" i="37"/>
  <c r="C11" i="2" l="1"/>
  <c r="G42" i="36" s="1"/>
  <c r="G43" i="36" s="1"/>
  <c r="G53" i="36" l="1"/>
  <c r="G54" i="36" l="1"/>
  <c r="G58" i="36" s="1"/>
  <c r="G43" i="30"/>
  <c r="G45" i="30" s="1"/>
  <c r="E18" i="27"/>
  <c r="E20"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<sst xmlns="http://schemas.openxmlformats.org/spreadsheetml/2006/main" count="611" uniqueCount="290">
  <si>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</si>
  <si>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</si>
  <si>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</si>
  <si>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</si>
  <si>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</si>
  <si>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</si>
  <si>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</si>
  <si>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</si>
  <si>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</si>
  <si>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</si>
  <si>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</si>
  <si>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</si>
  <si>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</si>
  <si>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</si>
  <si>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</si>
  <si>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</si>
  <si>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</si>
  <si>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</si>
  <si>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</si>
  <si>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</si>
  <si>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</si>
  <si>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</si>
  <si>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</si>
  <si>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</si>
  <si>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</si>
  <si>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</si>
  <si>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</si>
  <si>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</si>
  <si>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</si>
  <si>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</si>
  <si>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</si>
  <si>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</si>
  <si>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</si>
  <si>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</si>
  <si>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</si>
  <si>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</si>
  <si>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</si>
  <si>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</si>
  <si>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</si>
  <si>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</si>
  <si>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</si>
  <si>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</si>
  <si>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</si>
  <si>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</si>
  <si>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</si>
  <si>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</si>
  <si>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</si>
  <si>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</si>
  <si>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</si>
  <si>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</si>
  <si>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</si>
  <si>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</si>
  <si>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</si>
  <si>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</si>
  <si>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</si>
  <si>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</si>
  <si>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</si>
  <si>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</si>
  <si>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</si>
  <si>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</si>
  <si>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</si>
  <si>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</si>
  <si>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</si>
  <si>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</si>
  <si>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</si>
  <si>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</si>
  <si>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</si>
  <si>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</si>
  <si>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</si>
  <si>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</si>
  <si>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</si>
  <si>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</si>
  <si>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</si>
  <si>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</si>
  <si>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</si>
  <si>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</si>
  <si>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</si>
  <si>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</si>
  <si>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</si>
  <si>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</si>
  <si>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</si>
  <si>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</si>
  <si>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</si>
  <si>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</si>
  <si>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</si>
  <si>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</si>
  <si>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</si>
  <si>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</si>
  <si>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</si>
  <si>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</si>
  <si>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</si>
  <si>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</si>
  <si>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</si>
  <si>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</si>
  <si>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</si>
  <si>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</si>
  <si>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</si>
  <si>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</si>
  <si>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</si>
  <si>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</si>
  <si>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</si>
  <si>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</si>
  <si>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</si>
  <si>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</si>
  <si>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</si>
  <si>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</si>
  <si>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</si>
  <si>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</si>
  <si>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</si>
  <si>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</si>
  <si>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</si>
  <si>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</si>
  <si>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</si>
  <si>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</si>
  <si>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</si>
  <si>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</si>
  <si>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</si>
  <si>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</si>
  <si>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</si>
  <si>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</si>
  <si>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</si>
  <si>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</si>
  <si>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</si>
  <si>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</si>
  <si>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</si>
  <si>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</si>
  <si>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</si>
  <si>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</si>
  <si>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</si>
  <si>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</si>
  <si>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</si>
  <si>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</si>
  <si>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</si>
  <si>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</si>
  <si>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</si>
  <si>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</si>
  <si>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</si>
  <si>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</si>
  <si>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</si>
  <si>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</si>
  <si>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</si>
  <si>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</si>
  <si>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</si>
  <si>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</si>
  <si>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</si>
  <si>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</si>
  <si>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</si>
  <si>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</si>
  <si>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</si>
  <si>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</si>
  <si>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</si>
  <si>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</si>
  <si>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</si>
  <si>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</si>
  <si>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</si>
  <si>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</si>
  <si>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</si>
  <si>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</si>
  <si>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</si>
  <si>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</si>
  <si>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</si>
  <si>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</si>
  <si>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</si>
  <si>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</si>
  <si>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</si>
  <si>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</si>
  <si>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</si>
  <si>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</si>
  <si>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</si>
  <si>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</si>
  <si>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</si>
  <si>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</si>
  <si>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</si>
  <si>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</si>
  <si>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</si>
  <si>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</si>
  <si>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</si>
  <si>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</si>
  <si>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</si>
  <si>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</si>
  <si>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</si>
  <si>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</si>
  <si>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</si>
  <si>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</si>
  <si>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</si>
  <si>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</si>
  <si>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</si>
  <si>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</si>
  <si>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</si>
  <si>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</si>
  <si>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</si>
  <si>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</si>
  <si>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</si>
  <si>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</si>
  <si>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</si>
  <si>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</si>
  <si>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</si>
  <si>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</si>
  <si>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</si>
  <si>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</si>
  <si>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</si>
  <si>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</si>
  <si>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</si>
  <si>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</si>
  <si>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</si>
  <si>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</si>
  <si>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</si>
  <si>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</si>
  <si>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</si>
  <si>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</si>
  <si>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</si>
  <si>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</si>
  <si>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</si>
  <si>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</si>
  <si>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</si>
  <si>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</si>
  <si>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</si>
  <si>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</si>
  <si>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</si>
  <si>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</si>
  <si>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</si>
  <si>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</si>
  <si>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</si>
  <si>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</si>
  <si>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</si>
  <si>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</si>
  <si>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</si>
  <si>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</si>
  <si>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</si>
  <si>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</si>
  <si>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</si>
  <si>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</si>
  <si>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</si>
  <si>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</si>
  <si>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</si>
  <si>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</si>
  <si>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</si>
  <si>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</si>
  <si>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</si>
  <si>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</si>
  <si>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</si>
  <si>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</si>
  <si>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</si>
  <si>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</si>
  <si>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</si>
  <si>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</si>
  <si>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</si>
  <si>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</si>
  <si>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</si>
  <si>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</si>
  <si>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</si>
  <si>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</si>
  <si>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</si>
  <si>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</si>
  <si>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</si>
  <si>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</si>
  <si>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</si>
  <si>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</si>
  <si>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</si>
  <si>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</si>
  <si>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</si>
  <si>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</si>
  <si>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</si>
  <si>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</si>
  <si>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</si>
  <si>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Afgift til Forsyningssekretariatet</t>
  </si>
  <si>
    <t>Køb af ydelser og produkter fra andre vandselskaber reguleret af vandsektorloven</t>
  </si>
  <si>
    <t>Tjenestemandspensioner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</si>
  <si>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</si>
  <si>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</si>
  <si>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</si>
  <si>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</si>
  <si>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</si>
  <si>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</si>
  <si>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</si>
  <si>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</si>
  <si>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</si>
  <si>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</si>
  <si>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</si>
  <si>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Stiketableringer</t>
  </si>
  <si>
    <t>Omlægning af trykledning</t>
  </si>
  <si>
    <t>Indregnet fradrag i økonomisk ramme for 2022</t>
  </si>
  <si>
    <t>Indregnet fradrag i økonomisk ramme for 2023</t>
  </si>
  <si>
    <t>Korrektion af fradrag i den økonomiske ramme for 2023</t>
  </si>
  <si>
    <t>Tillæg/fradrag i den økonnomiske ramme for 2023</t>
  </si>
  <si>
    <t>Separatkloakering, reserveledning og Mosegårdskvateret</t>
  </si>
  <si>
    <t xml:space="preserve">Ingen engangstillæg </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</si>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</sst>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49" fontId="8" fillId="8" borderId="2" xfId="0" applyNumberFormat="1" applyFont="1" applyFill="1" applyBorder="1" applyAlignment="1" applyProtection="1">
      <alignment wrapText="1"/>
    </xf>
    <xf numFmtId="0" fontId="8" fillId="0" borderId="1" xfId="0" applyFont="1" applyBorder="1" applyAlignment="1" applyProtection="1">
      <alignment horizontal="justify"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2" t="s">
        <v>4</v>
      </c>
      <c r="E6" s="112"/>
      <c r="F6" s="112"/>
      <c r="G6" s="112"/>
      <c r="H6" s="3"/>
      <c r="I6" s="1"/>
    </row>
    <row r="7" spans="1:9" ht="15" customHeight="1" x14ac:dyDescent="0.25">
      <c r="A7" s="1"/>
      <c r="B7" s="1"/>
      <c r="C7" s="3"/>
      <c r="D7" s="112"/>
      <c r="E7" s="112"/>
      <c r="F7" s="112"/>
      <c r="G7" s="112"/>
      <c r="H7" s="3"/>
      <c r="I7" s="1"/>
    </row>
    <row r="8" spans="1:9" ht="15.75" x14ac:dyDescent="0.25">
      <c r="A8" s="1"/>
      <c r="B8" s="1"/>
      <c r="C8" s="4"/>
      <c r="D8" s="117" t="s">
        <v>225</v>
      </c>
      <c r="E8" s="117"/>
      <c r="F8" s="117"/>
      <c r="G8" s="117"/>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6" t="s">
        <v>5</v>
      </c>
      <c r="E11" s="116"/>
      <c r="F11" s="116"/>
      <c r="G11" s="116"/>
      <c r="H11" s="5"/>
      <c r="I11" s="1"/>
    </row>
    <row r="12" spans="1:9" x14ac:dyDescent="0.25">
      <c r="A12" s="1"/>
      <c r="B12" s="1"/>
      <c r="C12" s="1"/>
      <c r="D12" s="1"/>
      <c r="E12" s="1"/>
      <c r="F12" s="1"/>
      <c r="G12" s="1"/>
      <c r="H12" s="5"/>
      <c r="I12" s="1"/>
    </row>
    <row r="13" spans="1:9" x14ac:dyDescent="0.25">
      <c r="A13" s="1"/>
      <c r="B13" s="1"/>
      <c r="C13" s="6" t="s">
        <v>6</v>
      </c>
      <c r="D13" s="118" t="s">
        <v>169</v>
      </c>
      <c r="E13" s="119"/>
      <c r="F13" s="119"/>
      <c r="G13" s="120"/>
      <c r="H13" s="5"/>
      <c r="I13" s="1"/>
    </row>
    <row r="14" spans="1:9" x14ac:dyDescent="0.25">
      <c r="A14" s="1"/>
      <c r="B14" s="1"/>
      <c r="C14" s="6" t="s">
        <v>16</v>
      </c>
      <c r="D14" s="109" t="s">
        <v>235</v>
      </c>
      <c r="E14" s="110"/>
      <c r="F14" s="110"/>
      <c r="G14" s="111"/>
      <c r="H14" s="5"/>
      <c r="I14" s="1"/>
    </row>
    <row r="15" spans="1:9" x14ac:dyDescent="0.25">
      <c r="A15" s="1"/>
      <c r="B15" s="1"/>
      <c r="C15" s="6" t="s">
        <v>34</v>
      </c>
      <c r="D15" s="109" t="s">
        <v>170</v>
      </c>
      <c r="E15" s="110"/>
      <c r="F15" s="110"/>
      <c r="G15" s="111"/>
      <c r="H15" s="5"/>
      <c r="I15" s="1"/>
    </row>
    <row r="16" spans="1:9" x14ac:dyDescent="0.25">
      <c r="A16" s="1"/>
      <c r="B16" s="1"/>
      <c r="C16" s="6" t="s">
        <v>35</v>
      </c>
      <c r="D16" s="109" t="s">
        <v>182</v>
      </c>
      <c r="E16" s="110"/>
      <c r="F16" s="110"/>
      <c r="G16" s="111"/>
      <c r="H16" s="5"/>
      <c r="I16" s="1"/>
    </row>
    <row r="17" spans="1:9" x14ac:dyDescent="0.25">
      <c r="A17" s="1"/>
      <c r="B17" s="1"/>
      <c r="C17" s="6" t="s">
        <v>119</v>
      </c>
      <c r="D17" s="109" t="s">
        <v>183</v>
      </c>
      <c r="E17" s="110"/>
      <c r="F17" s="110"/>
      <c r="G17" s="111"/>
      <c r="H17" s="5"/>
      <c r="I17" s="1"/>
    </row>
    <row r="18" spans="1:9" x14ac:dyDescent="0.25">
      <c r="A18" s="1"/>
      <c r="B18" s="1"/>
      <c r="C18" s="6" t="s">
        <v>106</v>
      </c>
      <c r="D18" s="106" t="s">
        <v>95</v>
      </c>
      <c r="E18" s="107"/>
      <c r="F18" s="107"/>
      <c r="G18" s="108"/>
      <c r="H18" s="5"/>
      <c r="I18" s="1"/>
    </row>
    <row r="19" spans="1:9" x14ac:dyDescent="0.25">
      <c r="A19" s="1"/>
      <c r="B19" s="1"/>
      <c r="C19" s="6" t="s">
        <v>107</v>
      </c>
      <c r="D19" s="106" t="s">
        <v>96</v>
      </c>
      <c r="E19" s="107"/>
      <c r="F19" s="107"/>
      <c r="G19" s="108"/>
      <c r="H19" s="5"/>
      <c r="I19" s="1"/>
    </row>
    <row r="20" spans="1:9" x14ac:dyDescent="0.25">
      <c r="A20" s="1"/>
      <c r="B20" s="1"/>
      <c r="C20" s="6" t="s">
        <v>7</v>
      </c>
      <c r="D20" s="106" t="s">
        <v>10</v>
      </c>
      <c r="E20" s="107"/>
      <c r="F20" s="107"/>
      <c r="G20" s="108"/>
      <c r="H20" s="5"/>
      <c r="I20" s="1"/>
    </row>
    <row r="21" spans="1:9" x14ac:dyDescent="0.25">
      <c r="A21" s="1"/>
      <c r="B21" s="1"/>
      <c r="C21" s="6" t="s">
        <v>108</v>
      </c>
      <c r="D21" s="113" t="s">
        <v>12</v>
      </c>
      <c r="E21" s="114"/>
      <c r="F21" s="114"/>
      <c r="G21" s="115"/>
      <c r="H21" s="5"/>
      <c r="I21" s="1"/>
    </row>
    <row r="22" spans="1:9" x14ac:dyDescent="0.25">
      <c r="A22" s="1"/>
      <c r="B22" s="1"/>
      <c r="C22" s="6" t="s">
        <v>83</v>
      </c>
      <c r="D22" s="100" t="s">
        <v>184</v>
      </c>
      <c r="E22" s="101"/>
      <c r="F22" s="101"/>
      <c r="G22" s="102"/>
      <c r="H22" s="5"/>
      <c r="I22" s="1"/>
    </row>
    <row r="23" spans="1:9" x14ac:dyDescent="0.25">
      <c r="A23" s="1"/>
      <c r="B23" s="1"/>
      <c r="C23" s="6" t="s">
        <v>8</v>
      </c>
      <c r="D23" s="100" t="s">
        <v>253</v>
      </c>
      <c r="E23" s="101"/>
      <c r="F23" s="101"/>
      <c r="G23" s="102"/>
      <c r="H23" s="5"/>
      <c r="I23" s="1"/>
    </row>
    <row r="24" spans="1:9" x14ac:dyDescent="0.25">
      <c r="A24" s="1"/>
      <c r="B24" s="1"/>
      <c r="C24" s="6" t="s">
        <v>9</v>
      </c>
      <c r="D24" s="100" t="s">
        <v>185</v>
      </c>
      <c r="E24" s="101"/>
      <c r="F24" s="101"/>
      <c r="G24" s="102"/>
      <c r="H24" s="5"/>
      <c r="I24" s="1"/>
    </row>
    <row r="25" spans="1:9" x14ac:dyDescent="0.25">
      <c r="A25" s="1"/>
      <c r="B25" s="1"/>
      <c r="C25" s="6" t="s">
        <v>246</v>
      </c>
      <c r="D25" s="100" t="s">
        <v>237</v>
      </c>
      <c r="E25" s="101"/>
      <c r="F25" s="101"/>
      <c r="G25" s="102"/>
      <c r="H25" s="1"/>
      <c r="I25" s="1"/>
    </row>
    <row r="26" spans="1:9" x14ac:dyDescent="0.25">
      <c r="A26" s="1"/>
      <c r="B26" s="1"/>
      <c r="C26" s="6" t="s">
        <v>247</v>
      </c>
      <c r="D26" s="100" t="s">
        <v>84</v>
      </c>
      <c r="E26" s="101"/>
      <c r="F26" s="101"/>
      <c r="G26" s="102"/>
      <c r="H26" s="1"/>
      <c r="I26" s="1"/>
    </row>
    <row r="27" spans="1:9" x14ac:dyDescent="0.25">
      <c r="A27" s="1"/>
      <c r="B27" s="1"/>
      <c r="C27" s="6" t="s">
        <v>248</v>
      </c>
      <c r="D27" s="100" t="s">
        <v>85</v>
      </c>
      <c r="E27" s="101"/>
      <c r="F27" s="101"/>
      <c r="G27" s="102"/>
      <c r="H27" s="1"/>
      <c r="I27" s="1"/>
    </row>
    <row r="28" spans="1:9" x14ac:dyDescent="0.25">
      <c r="A28" s="1"/>
      <c r="B28" s="1"/>
      <c r="C28" s="6" t="s">
        <v>15</v>
      </c>
      <c r="D28" s="100" t="s">
        <v>86</v>
      </c>
      <c r="E28" s="101"/>
      <c r="F28" s="101"/>
      <c r="G28" s="102"/>
      <c r="H28" s="1"/>
      <c r="I28" s="1"/>
    </row>
    <row r="29" spans="1:9" x14ac:dyDescent="0.25">
      <c r="A29" s="1"/>
      <c r="B29" s="1"/>
      <c r="C29" s="6" t="s">
        <v>37</v>
      </c>
      <c r="D29" s="100" t="s">
        <v>134</v>
      </c>
      <c r="E29" s="101"/>
      <c r="F29" s="101"/>
      <c r="G29" s="102"/>
      <c r="H29" s="1"/>
      <c r="I29" s="1"/>
    </row>
    <row r="30" spans="1:9" x14ac:dyDescent="0.25">
      <c r="A30" s="1"/>
      <c r="B30" s="1"/>
      <c r="C30" s="6" t="s">
        <v>38</v>
      </c>
      <c r="D30" s="100" t="s">
        <v>36</v>
      </c>
      <c r="E30" s="101"/>
      <c r="F30" s="101"/>
      <c r="G30" s="102"/>
      <c r="H30" s="1"/>
      <c r="I30" s="1"/>
    </row>
    <row r="31" spans="1:9" x14ac:dyDescent="0.25">
      <c r="A31" s="1"/>
      <c r="B31" s="1"/>
      <c r="C31" s="6" t="s">
        <v>249</v>
      </c>
      <c r="D31" s="103" t="s">
        <v>105</v>
      </c>
      <c r="E31" s="104"/>
      <c r="F31" s="104"/>
      <c r="G31" s="105"/>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RsKd61EjE/Yjux77e2QWGjG0Cesy0ifaLg18zLwiMuhEPSdyBgRoplMJR5PfUvxDfqlRKynRsOE3ssYisUdVw==" saltValue="edK1HoPlzyiTldCaMjxysA=="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1" t="s">
        <v>111</v>
      </c>
      <c r="C3" s="121"/>
      <c r="D3" s="121"/>
      <c r="E3" s="1"/>
      <c r="F3" s="1"/>
    </row>
    <row r="4" spans="1:6" ht="15" customHeight="1" x14ac:dyDescent="0.25">
      <c r="A4" s="1"/>
      <c r="B4" s="121"/>
      <c r="C4" s="121"/>
      <c r="D4" s="12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3" t="s">
        <v>199</v>
      </c>
      <c r="C8" s="134"/>
      <c r="D8" s="135"/>
      <c r="E8" s="1"/>
      <c r="F8" s="1"/>
    </row>
    <row r="9" spans="1:6" ht="15" customHeight="1" x14ac:dyDescent="0.25">
      <c r="A9" s="1"/>
      <c r="B9" s="26" t="s">
        <v>32</v>
      </c>
      <c r="C9" s="58" t="s">
        <v>240</v>
      </c>
      <c r="D9" s="11"/>
      <c r="E9" s="1"/>
      <c r="F9" s="1"/>
    </row>
    <row r="10" spans="1:6" x14ac:dyDescent="0.25">
      <c r="A10" s="1"/>
      <c r="B10" s="96" t="s">
        <v>265</v>
      </c>
      <c r="C10" s="9">
        <v>154186</v>
      </c>
      <c r="D10" s="14" t="s">
        <v>3</v>
      </c>
      <c r="E10" s="1"/>
      <c r="F10" s="1"/>
    </row>
    <row r="11" spans="1:6" x14ac:dyDescent="0.25">
      <c r="A11" s="1"/>
      <c r="B11" s="96" t="s">
        <v>266</v>
      </c>
      <c r="C11" s="9">
        <v>30006792</v>
      </c>
      <c r="D11" s="14" t="s">
        <v>3</v>
      </c>
      <c r="E11" s="1"/>
      <c r="F11" s="1"/>
    </row>
    <row r="12" spans="1:6" x14ac:dyDescent="0.25">
      <c r="A12" s="1"/>
      <c r="B12" s="96" t="s">
        <v>267</v>
      </c>
      <c r="C12" s="9">
        <v>314164</v>
      </c>
      <c r="D12" s="14" t="s">
        <v>3</v>
      </c>
      <c r="E12" s="1"/>
      <c r="F12" s="1"/>
    </row>
    <row r="13" spans="1:6" x14ac:dyDescent="0.25">
      <c r="A13" s="1"/>
      <c r="B13" s="32" t="s">
        <v>200</v>
      </c>
      <c r="C13" s="12">
        <f>SUM(C10:C12)</f>
        <v>30475142</v>
      </c>
      <c r="D13" s="13" t="s">
        <v>3</v>
      </c>
      <c r="E13" s="1"/>
      <c r="F13" s="1"/>
    </row>
    <row r="14" spans="1:6" x14ac:dyDescent="0.25">
      <c r="A14" s="1"/>
      <c r="B14" s="32" t="s">
        <v>201</v>
      </c>
      <c r="C14" s="12">
        <f>C13*(1+'Fane 15. Nøgletal'!C15)^2</f>
        <v>32683595.086365122</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33" t="s">
        <v>117</v>
      </c>
      <c r="C17" s="134"/>
      <c r="D17" s="135"/>
      <c r="E17" s="1"/>
      <c r="F17" s="1"/>
    </row>
    <row r="18" spans="1:6" x14ac:dyDescent="0.25">
      <c r="A18" s="1"/>
      <c r="B18" s="96" t="s">
        <v>99</v>
      </c>
      <c r="C18" s="9">
        <v>5875724</v>
      </c>
      <c r="D18" s="14" t="s">
        <v>3</v>
      </c>
      <c r="E18" s="1"/>
      <c r="F18" s="1"/>
    </row>
    <row r="19" spans="1:6" x14ac:dyDescent="0.25">
      <c r="A19" s="1"/>
      <c r="B19" s="96" t="s">
        <v>129</v>
      </c>
      <c r="C19" s="9">
        <v>5876455</v>
      </c>
      <c r="D19" s="14" t="s">
        <v>3</v>
      </c>
      <c r="E19" s="1"/>
      <c r="F19" s="1"/>
    </row>
    <row r="20" spans="1:6" x14ac:dyDescent="0.25">
      <c r="A20" s="1"/>
      <c r="B20" s="96" t="s">
        <v>155</v>
      </c>
      <c r="C20" s="9">
        <v>5957201</v>
      </c>
      <c r="D20" s="14" t="s">
        <v>3</v>
      </c>
      <c r="E20" s="1"/>
      <c r="F20" s="1"/>
    </row>
    <row r="21" spans="1:6" x14ac:dyDescent="0.25">
      <c r="A21" s="1"/>
      <c r="B21" s="33" t="s">
        <v>202</v>
      </c>
      <c r="C21" s="9">
        <v>5877962</v>
      </c>
      <c r="D21" s="40" t="s">
        <v>3</v>
      </c>
      <c r="E21" s="1"/>
      <c r="F21" s="1"/>
    </row>
    <row r="22" spans="1:6" x14ac:dyDescent="0.25">
      <c r="A22" s="1"/>
      <c r="B22" s="133"/>
      <c r="C22" s="134"/>
      <c r="D22" s="135"/>
      <c r="E22" s="1"/>
      <c r="F22" s="1"/>
    </row>
    <row r="23" spans="1:6" x14ac:dyDescent="0.25">
      <c r="A23" s="1"/>
      <c r="B23" s="1"/>
      <c r="C23" s="1"/>
      <c r="D23" s="1"/>
      <c r="E23" s="1"/>
      <c r="F23" s="1"/>
    </row>
    <row r="24" spans="1:6" x14ac:dyDescent="0.25">
      <c r="A24" s="1"/>
      <c r="B24" s="1"/>
      <c r="C24" s="1"/>
      <c r="D24" s="1"/>
      <c r="E24" s="1"/>
      <c r="F24" s="1"/>
    </row>
    <row r="25" spans="1:6" x14ac:dyDescent="0.25">
      <c r="A25" s="1"/>
      <c r="B25" s="133" t="s">
        <v>98</v>
      </c>
      <c r="C25" s="134"/>
      <c r="D25" s="135"/>
      <c r="E25" s="1"/>
      <c r="F25" s="1"/>
    </row>
    <row r="26" spans="1:6" x14ac:dyDescent="0.25">
      <c r="A26" s="1"/>
      <c r="B26" s="96" t="s">
        <v>99</v>
      </c>
      <c r="C26" s="9">
        <v>8884474</v>
      </c>
      <c r="D26" s="14" t="s">
        <v>3</v>
      </c>
      <c r="E26" s="1"/>
      <c r="F26" s="1"/>
    </row>
    <row r="27" spans="1:6" x14ac:dyDescent="0.25">
      <c r="A27" s="1"/>
      <c r="B27" s="96" t="s">
        <v>129</v>
      </c>
      <c r="C27" s="9">
        <v>0</v>
      </c>
      <c r="D27" s="14" t="s">
        <v>3</v>
      </c>
      <c r="E27" s="1"/>
      <c r="F27" s="1"/>
    </row>
    <row r="28" spans="1:6" x14ac:dyDescent="0.25">
      <c r="A28" s="1"/>
      <c r="B28" s="96" t="s">
        <v>155</v>
      </c>
      <c r="C28" s="9">
        <v>0</v>
      </c>
      <c r="D28" s="14" t="s">
        <v>3</v>
      </c>
      <c r="E28" s="1"/>
      <c r="F28" s="1"/>
    </row>
    <row r="29" spans="1:6" x14ac:dyDescent="0.25">
      <c r="A29" s="1"/>
      <c r="B29" s="33" t="s">
        <v>202</v>
      </c>
      <c r="C29" s="9">
        <v>0</v>
      </c>
      <c r="D29" s="40" t="s">
        <v>3</v>
      </c>
      <c r="E29" s="1"/>
      <c r="F29" s="1"/>
    </row>
    <row r="30" spans="1:6" x14ac:dyDescent="0.25">
      <c r="A30" s="1"/>
      <c r="B30" s="133"/>
      <c r="C30" s="134"/>
      <c r="D30" s="135"/>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sheetData>
  <sheetProtection algorithmName="SHA-512" hashValue="F1KySx0TzJUw9Y1wcgkWQ428VrDdwX05al0Li9TJDsd3GpMBT8rv5XypnyFOP5zdIVsag4V8iuNn7eFFDvZPfQ==" saltValue="ABqJPJya4XvbnCe+QXfLFg=="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6" t="s">
        <v>203</v>
      </c>
      <c r="C3" s="126"/>
      <c r="D3" s="126"/>
      <c r="E3" s="126"/>
      <c r="F3" s="126"/>
      <c r="G3" s="1"/>
    </row>
    <row r="4" spans="1:7" ht="15" customHeight="1" x14ac:dyDescent="0.25">
      <c r="A4" s="1"/>
      <c r="B4" s="126"/>
      <c r="C4" s="126"/>
      <c r="D4" s="126"/>
      <c r="E4" s="126"/>
      <c r="F4" s="126"/>
      <c r="G4" s="1"/>
    </row>
    <row r="5" spans="1:7" ht="15" customHeight="1" x14ac:dyDescent="0.25">
      <c r="A5" s="1"/>
      <c r="B5" s="84"/>
      <c r="C5" s="84"/>
      <c r="D5" s="84"/>
      <c r="E5" s="84"/>
      <c r="F5" s="84"/>
      <c r="G5" s="1"/>
    </row>
    <row r="6" spans="1:7" ht="15" customHeight="1" x14ac:dyDescent="0.25">
      <c r="A6" s="1"/>
      <c r="B6" s="84"/>
      <c r="C6" s="84"/>
      <c r="D6" s="84"/>
      <c r="E6" s="84"/>
      <c r="F6" s="84"/>
      <c r="G6" s="1"/>
    </row>
    <row r="7" spans="1:7" x14ac:dyDescent="0.25">
      <c r="A7" s="1"/>
      <c r="B7" s="1"/>
      <c r="C7" s="1"/>
      <c r="D7" s="1"/>
      <c r="E7" s="1"/>
      <c r="F7" s="1"/>
      <c r="G7" s="1"/>
    </row>
    <row r="8" spans="1:7" x14ac:dyDescent="0.25">
      <c r="A8" s="1"/>
      <c r="B8" s="133" t="s">
        <v>178</v>
      </c>
      <c r="C8" s="134"/>
      <c r="D8" s="134"/>
      <c r="E8" s="134"/>
      <c r="F8" s="135"/>
      <c r="G8" s="1"/>
    </row>
    <row r="9" spans="1:7" x14ac:dyDescent="0.25">
      <c r="A9" s="1"/>
      <c r="B9" s="138" t="s">
        <v>204</v>
      </c>
      <c r="C9" s="139"/>
      <c r="D9" s="140"/>
      <c r="E9" s="9">
        <v>-1859031.3241851628</v>
      </c>
      <c r="F9" s="14" t="s">
        <v>3</v>
      </c>
      <c r="G9" s="1"/>
    </row>
    <row r="10" spans="1:7" x14ac:dyDescent="0.25">
      <c r="A10" s="1"/>
      <c r="B10" s="138" t="s">
        <v>263</v>
      </c>
      <c r="C10" s="139"/>
      <c r="D10" s="140"/>
      <c r="E10" s="9">
        <v>-1859031.3241851628</v>
      </c>
      <c r="F10" s="14" t="s">
        <v>3</v>
      </c>
      <c r="G10" s="1"/>
    </row>
    <row r="11" spans="1:7" x14ac:dyDescent="0.25">
      <c r="A11" s="1"/>
      <c r="B11" s="32"/>
      <c r="C11" s="27"/>
      <c r="D11" s="27"/>
      <c r="E11" s="27"/>
      <c r="F11" s="19"/>
      <c r="G11" s="1"/>
    </row>
    <row r="12" spans="1:7" ht="83.25" customHeight="1" x14ac:dyDescent="0.25">
      <c r="A12" s="1"/>
      <c r="B12" s="123" t="s">
        <v>288</v>
      </c>
      <c r="C12" s="124"/>
      <c r="D12" s="124"/>
      <c r="E12" s="124"/>
      <c r="F12" s="125"/>
      <c r="G12" s="1"/>
    </row>
    <row r="13" spans="1:7" ht="27" customHeight="1" x14ac:dyDescent="0.25">
      <c r="A13" s="1"/>
      <c r="B13" s="1"/>
      <c r="C13" s="1"/>
      <c r="D13" s="1"/>
      <c r="E13" s="1"/>
      <c r="F13" s="1"/>
      <c r="G13" s="1"/>
    </row>
    <row r="14" spans="1:7" ht="28.5" customHeight="1" x14ac:dyDescent="0.25">
      <c r="A14" s="1"/>
      <c r="B14" s="133" t="s">
        <v>179</v>
      </c>
      <c r="C14" s="134"/>
      <c r="D14" s="134"/>
      <c r="E14" s="134"/>
      <c r="F14" s="135"/>
      <c r="G14" s="1"/>
    </row>
    <row r="15" spans="1:7" x14ac:dyDescent="0.25">
      <c r="A15" s="1"/>
      <c r="B15" s="138" t="s">
        <v>281</v>
      </c>
      <c r="C15" s="139"/>
      <c r="D15" s="140"/>
      <c r="E15" s="9">
        <v>-1082356.1620925814</v>
      </c>
      <c r="F15" s="14" t="s">
        <v>3</v>
      </c>
      <c r="G15" s="1"/>
    </row>
    <row r="16" spans="1:7" x14ac:dyDescent="0.25">
      <c r="A16" s="1"/>
      <c r="B16" s="138" t="s">
        <v>282</v>
      </c>
      <c r="C16" s="139"/>
      <c r="D16" s="140"/>
      <c r="E16" s="9">
        <v>-1082356.1620925814</v>
      </c>
      <c r="F16" s="14" t="s">
        <v>3</v>
      </c>
      <c r="G16" s="1"/>
    </row>
    <row r="17" spans="1:7" x14ac:dyDescent="0.25">
      <c r="A17" s="1"/>
      <c r="B17" s="32"/>
      <c r="C17" s="27"/>
      <c r="D17" s="27"/>
      <c r="E17" s="27"/>
      <c r="F17" s="19"/>
      <c r="G17" s="1"/>
    </row>
    <row r="18" spans="1:7" ht="31.5" customHeight="1" x14ac:dyDescent="0.25">
      <c r="A18" s="1"/>
      <c r="B18" s="123" t="s">
        <v>289</v>
      </c>
      <c r="C18" s="124"/>
      <c r="D18" s="124"/>
      <c r="E18" s="124"/>
      <c r="F18" s="125"/>
      <c r="G18" s="1"/>
    </row>
    <row r="19" spans="1:7" ht="28.5" customHeight="1" x14ac:dyDescent="0.25">
      <c r="A19" s="1"/>
      <c r="B19" s="1"/>
      <c r="C19" s="1"/>
      <c r="D19" s="1"/>
      <c r="E19" s="1"/>
      <c r="F19" s="1"/>
      <c r="G19" s="1"/>
    </row>
    <row r="20" spans="1:7" ht="28.5" customHeight="1" x14ac:dyDescent="0.25">
      <c r="A20" s="1"/>
      <c r="B20" s="88" t="s">
        <v>205</v>
      </c>
      <c r="C20" s="89"/>
      <c r="D20" s="89"/>
      <c r="E20" s="89"/>
      <c r="F20" s="90"/>
      <c r="G20" s="1"/>
    </row>
    <row r="21" spans="1:7" x14ac:dyDescent="0.25">
      <c r="A21" s="1"/>
      <c r="B21" s="93" t="s">
        <v>206</v>
      </c>
      <c r="C21" s="94"/>
      <c r="D21" s="95"/>
      <c r="E21" s="9">
        <v>119579244.75610214</v>
      </c>
      <c r="F21" s="14" t="s">
        <v>3</v>
      </c>
      <c r="G21" s="1"/>
    </row>
    <row r="22" spans="1:7" x14ac:dyDescent="0.25">
      <c r="A22" s="1"/>
      <c r="B22" s="93" t="s">
        <v>207</v>
      </c>
      <c r="C22" s="94"/>
      <c r="D22" s="95"/>
      <c r="E22" s="9">
        <v>118927881</v>
      </c>
      <c r="F22" s="14" t="s">
        <v>3</v>
      </c>
      <c r="G22" s="1"/>
    </row>
    <row r="23" spans="1:7" x14ac:dyDescent="0.25">
      <c r="A23" s="1"/>
      <c r="B23" s="93" t="s">
        <v>33</v>
      </c>
      <c r="C23" s="94"/>
      <c r="D23" s="95"/>
      <c r="E23" s="9">
        <v>0</v>
      </c>
      <c r="F23" s="14" t="s">
        <v>3</v>
      </c>
      <c r="G23" s="1"/>
    </row>
    <row r="24" spans="1:7" x14ac:dyDescent="0.25">
      <c r="A24" s="1"/>
      <c r="B24" s="91" t="s">
        <v>268</v>
      </c>
      <c r="C24" s="92"/>
      <c r="D24" s="98"/>
      <c r="E24" s="72">
        <f>E21-(E22-E23)</f>
        <v>651363.75610214472</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3" t="s">
        <v>283</v>
      </c>
      <c r="C27" s="134"/>
      <c r="D27" s="134"/>
      <c r="E27" s="134"/>
      <c r="F27" s="135"/>
      <c r="G27" s="1"/>
    </row>
    <row r="28" spans="1:7" x14ac:dyDescent="0.25">
      <c r="A28" s="1"/>
      <c r="B28" s="136" t="s">
        <v>284</v>
      </c>
      <c r="C28" s="137"/>
      <c r="D28" s="160"/>
      <c r="E28" s="73">
        <f>IF(AND(E9&gt;0,(E9+E24)&gt;0),0,IF(AND(E9&gt;0,(E9+E24)&lt;0),0,IF(AND(E9&lt;0,E24&gt;0,E10=0),0,IF(AND(E9&lt;0,E24&gt;0,ABS(E10)&lt;ABS(E24)),ABS(E16),IF(AND(E9&lt;0,E24&gt;0,ABS(E10)&gt;ABS(E24),ABS(E16)&gt;ABS(E24)),-(ABS(E16)-ABS(E24)),IF(AND(E9&lt;0,E24&gt;0,ABS(E10)&gt;ABS(E24),ABS(E16)&lt;ABS(E24)),E24-ABS(E16),IF(AND(E9&lt;0,E24&lt;0),E16,0)))))))</f>
        <v>-430992.40599043667</v>
      </c>
      <c r="F28" s="17" t="s">
        <v>3</v>
      </c>
      <c r="G28" s="1"/>
    </row>
    <row r="29" spans="1:7" x14ac:dyDescent="0.25">
      <c r="A29" s="1"/>
      <c r="B29" s="133"/>
      <c r="C29" s="134"/>
      <c r="D29" s="134"/>
      <c r="E29" s="134"/>
      <c r="F29" s="135"/>
      <c r="G29" s="1"/>
    </row>
    <row r="30" spans="1:7" x14ac:dyDescent="0.25">
      <c r="A30" s="1"/>
      <c r="B30" s="1"/>
      <c r="C30" s="1"/>
      <c r="D30" s="1"/>
      <c r="E30" s="1"/>
      <c r="F30" s="1"/>
      <c r="G30" s="1"/>
    </row>
    <row r="31" spans="1:7" ht="28.5" customHeight="1" x14ac:dyDescent="0.25">
      <c r="A31" s="1"/>
      <c r="B31" s="133" t="s">
        <v>264</v>
      </c>
      <c r="C31" s="134"/>
      <c r="D31" s="134"/>
      <c r="E31" s="134"/>
      <c r="F31" s="135"/>
      <c r="G31" s="1"/>
    </row>
    <row r="32" spans="1:7" x14ac:dyDescent="0.25">
      <c r="A32" s="1"/>
      <c r="B32" s="157" t="s">
        <v>143</v>
      </c>
      <c r="C32" s="158"/>
      <c r="D32" s="159"/>
      <c r="E32" s="74">
        <f>IF(AND(E9&gt;0,(E9+E24)&gt;0),0,IF(AND(E9&gt;0,(E9+E24)&lt;0),(E9+E24),IF(AND(E9&lt;0,E24&lt;0),E24,0)))</f>
        <v>0</v>
      </c>
      <c r="F32" s="14" t="s">
        <v>3</v>
      </c>
      <c r="G32" s="1"/>
    </row>
    <row r="33" spans="1:7" x14ac:dyDescent="0.25">
      <c r="A33" s="1"/>
      <c r="B33" s="157" t="s">
        <v>102</v>
      </c>
      <c r="C33" s="158"/>
      <c r="D33" s="159"/>
      <c r="E33" s="9">
        <v>4</v>
      </c>
      <c r="F33" s="14" t="s">
        <v>20</v>
      </c>
      <c r="G33" s="1"/>
    </row>
    <row r="34" spans="1:7" x14ac:dyDescent="0.25">
      <c r="A34" s="1"/>
      <c r="B34" s="153" t="s">
        <v>144</v>
      </c>
      <c r="C34" s="153"/>
      <c r="D34" s="153"/>
      <c r="E34" s="73">
        <f>E32/E33</f>
        <v>0</v>
      </c>
      <c r="F34" s="17" t="s">
        <v>3</v>
      </c>
      <c r="G34" s="1"/>
    </row>
    <row r="35" spans="1:7" x14ac:dyDescent="0.25">
      <c r="A35" s="1"/>
      <c r="B35" s="154"/>
      <c r="C35" s="155"/>
      <c r="D35" s="155"/>
      <c r="E35" s="155"/>
      <c r="F35" s="156"/>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4fphM5y5anjTrha9CHiuxnB6cChVdmWmjeCSg3bHfULlyA9QAJysFC9BnH2hILJQYZKbs/+9iCd3DTPyJPGElQ==" saltValue="RhSSsl+QPmSnGaJrUabd9w==" spinCount="100000" sheet="1" objects="1" scenarios="1"/>
  <mergeCells count="17">
    <mergeCell ref="B3:F4"/>
    <mergeCell ref="B8:F8"/>
    <mergeCell ref="B9:D9"/>
    <mergeCell ref="B10:D10"/>
    <mergeCell ref="B14:F14"/>
    <mergeCell ref="B12:F12"/>
    <mergeCell ref="B34:D34"/>
    <mergeCell ref="B35:F35"/>
    <mergeCell ref="B15:D15"/>
    <mergeCell ref="B16:D16"/>
    <mergeCell ref="B32:D32"/>
    <mergeCell ref="B29:F29"/>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1" t="s">
        <v>250</v>
      </c>
      <c r="C3" s="121"/>
      <c r="D3" s="121"/>
      <c r="E3" s="121"/>
      <c r="F3" s="121"/>
      <c r="G3" s="121"/>
      <c r="H3" s="121"/>
      <c r="I3" s="1"/>
    </row>
    <row r="4" spans="1:9" ht="15" customHeight="1" x14ac:dyDescent="0.25">
      <c r="A4" s="1"/>
      <c r="B4" s="121"/>
      <c r="C4" s="121"/>
      <c r="D4" s="121"/>
      <c r="E4" s="121"/>
      <c r="F4" s="121"/>
      <c r="G4" s="121"/>
      <c r="H4" s="12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3" t="s">
        <v>262</v>
      </c>
      <c r="C8" s="134"/>
      <c r="D8" s="134"/>
      <c r="E8" s="134"/>
      <c r="F8" s="134"/>
      <c r="G8" s="134"/>
      <c r="H8" s="135"/>
      <c r="I8" s="1"/>
    </row>
    <row r="9" spans="1:9" ht="15" customHeight="1" x14ac:dyDescent="0.25">
      <c r="A9" s="1"/>
      <c r="B9" s="130" t="s">
        <v>251</v>
      </c>
      <c r="C9" s="131"/>
      <c r="D9" s="131"/>
      <c r="E9" s="131"/>
      <c r="F9" s="131"/>
      <c r="G9" s="131"/>
      <c r="H9" s="132"/>
      <c r="I9" s="1"/>
    </row>
    <row r="10" spans="1:9" x14ac:dyDescent="0.25">
      <c r="A10" s="1"/>
      <c r="B10" s="161" t="s">
        <v>270</v>
      </c>
      <c r="C10" s="162"/>
      <c r="D10" s="162"/>
      <c r="E10" s="162"/>
      <c r="F10" s="163"/>
      <c r="G10" s="9">
        <v>0</v>
      </c>
      <c r="H10" s="9" t="s">
        <v>3</v>
      </c>
      <c r="I10" s="1"/>
    </row>
    <row r="11" spans="1:9" x14ac:dyDescent="0.25">
      <c r="A11" s="1"/>
      <c r="B11" s="161" t="s">
        <v>271</v>
      </c>
      <c r="C11" s="162"/>
      <c r="D11" s="162"/>
      <c r="E11" s="162"/>
      <c r="F11" s="163"/>
      <c r="G11" s="9">
        <v>0</v>
      </c>
      <c r="H11" s="9" t="s">
        <v>3</v>
      </c>
      <c r="I11" s="1"/>
    </row>
    <row r="12" spans="1:9" x14ac:dyDescent="0.25">
      <c r="A12" s="1"/>
      <c r="B12" s="161" t="s">
        <v>272</v>
      </c>
      <c r="C12" s="162"/>
      <c r="D12" s="162"/>
      <c r="E12" s="162"/>
      <c r="F12" s="163"/>
      <c r="G12" s="9">
        <v>0</v>
      </c>
      <c r="H12" s="9" t="s">
        <v>3</v>
      </c>
      <c r="I12" s="1"/>
    </row>
    <row r="13" spans="1:9" x14ac:dyDescent="0.25">
      <c r="A13" s="1"/>
      <c r="B13" s="161" t="s">
        <v>273</v>
      </c>
      <c r="C13" s="162"/>
      <c r="D13" s="162"/>
      <c r="E13" s="162"/>
      <c r="F13" s="163"/>
      <c r="G13" s="9">
        <v>0</v>
      </c>
      <c r="H13" s="9" t="s">
        <v>3</v>
      </c>
      <c r="I13" s="1"/>
    </row>
    <row r="14" spans="1:9" x14ac:dyDescent="0.25">
      <c r="A14" s="1"/>
      <c r="B14" s="161" t="s">
        <v>274</v>
      </c>
      <c r="C14" s="162"/>
      <c r="D14" s="162"/>
      <c r="E14" s="162"/>
      <c r="F14" s="163"/>
      <c r="G14" s="9">
        <v>0</v>
      </c>
      <c r="H14" s="9" t="s">
        <v>3</v>
      </c>
      <c r="I14" s="1"/>
    </row>
    <row r="15" spans="1:9" x14ac:dyDescent="0.25">
      <c r="A15" s="1"/>
      <c r="B15" s="161" t="s">
        <v>275</v>
      </c>
      <c r="C15" s="162"/>
      <c r="D15" s="162"/>
      <c r="E15" s="162"/>
      <c r="F15" s="163"/>
      <c r="G15" s="9">
        <v>0</v>
      </c>
      <c r="H15" s="9" t="s">
        <v>3</v>
      </c>
      <c r="I15" s="1"/>
    </row>
    <row r="16" spans="1:9" x14ac:dyDescent="0.25">
      <c r="A16" s="1"/>
      <c r="B16" s="161" t="s">
        <v>276</v>
      </c>
      <c r="C16" s="162"/>
      <c r="D16" s="162"/>
      <c r="E16" s="162"/>
      <c r="F16" s="163"/>
      <c r="G16" s="9">
        <v>0</v>
      </c>
      <c r="H16" s="9" t="s">
        <v>3</v>
      </c>
      <c r="I16" s="1"/>
    </row>
    <row r="17" spans="1:9" x14ac:dyDescent="0.25">
      <c r="A17" s="1"/>
      <c r="B17" s="161" t="s">
        <v>277</v>
      </c>
      <c r="C17" s="162"/>
      <c r="D17" s="162"/>
      <c r="E17" s="162"/>
      <c r="F17" s="163"/>
      <c r="G17" s="9">
        <v>0</v>
      </c>
      <c r="H17" s="9" t="s">
        <v>3</v>
      </c>
      <c r="I17" s="1"/>
    </row>
    <row r="18" spans="1:9" x14ac:dyDescent="0.25">
      <c r="A18" s="1"/>
      <c r="B18" s="133" t="s">
        <v>252</v>
      </c>
      <c r="C18" s="134"/>
      <c r="D18" s="134"/>
      <c r="E18" s="134"/>
      <c r="F18" s="135"/>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qpLO9BaWIZfIs+hF+gWgiirBcaJZCvSBvgwxQN7hJ4F4l+Ol1v6rUMjGM4RWXCqLnyAKSqFNZE3JFsFm8rLrJQ==" saltValue="B4peRRLcfy6BX4iC6I92Mg==" spinCount="100000" sheet="1" objects="1" scenarios="1"/>
  <mergeCells count="12">
    <mergeCell ref="B17:F17"/>
    <mergeCell ref="B18:F18"/>
    <mergeCell ref="B12:F12"/>
    <mergeCell ref="B13:F13"/>
    <mergeCell ref="B14:F14"/>
    <mergeCell ref="B15:F15"/>
    <mergeCell ref="B16:F16"/>
    <mergeCell ref="B11:F11"/>
    <mergeCell ref="B10:F10"/>
    <mergeCell ref="B9:H9"/>
    <mergeCell ref="B3:H4"/>
    <mergeCell ref="B8:H8"/>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6" t="s">
        <v>254</v>
      </c>
      <c r="C3" s="126"/>
      <c r="D3" s="126"/>
      <c r="E3" s="126"/>
      <c r="F3" s="126"/>
      <c r="G3" s="1"/>
    </row>
    <row r="4" spans="1:7" ht="15" customHeight="1" x14ac:dyDescent="0.25">
      <c r="A4" s="1"/>
      <c r="B4" s="126"/>
      <c r="C4" s="126"/>
      <c r="D4" s="126"/>
      <c r="E4" s="126"/>
      <c r="F4" s="12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3" t="s">
        <v>208</v>
      </c>
      <c r="C9" s="134"/>
      <c r="D9" s="134"/>
      <c r="E9" s="134"/>
      <c r="F9" s="135"/>
      <c r="G9" s="1"/>
    </row>
    <row r="10" spans="1:7" x14ac:dyDescent="0.25">
      <c r="A10" s="1"/>
      <c r="B10" s="123" t="s">
        <v>100</v>
      </c>
      <c r="C10" s="124"/>
      <c r="D10" s="125"/>
      <c r="E10" s="7">
        <v>0</v>
      </c>
      <c r="F10" s="8" t="s">
        <v>3</v>
      </c>
      <c r="G10" s="1"/>
    </row>
    <row r="11" spans="1:7" x14ac:dyDescent="0.25">
      <c r="A11" s="1"/>
      <c r="B11" s="138" t="s">
        <v>209</v>
      </c>
      <c r="C11" s="139"/>
      <c r="D11" s="140"/>
      <c r="E11" s="7">
        <v>0</v>
      </c>
      <c r="F11" s="8" t="s">
        <v>3</v>
      </c>
      <c r="G11" s="1"/>
    </row>
    <row r="12" spans="1:7" x14ac:dyDescent="0.25">
      <c r="A12" s="1"/>
      <c r="B12" s="136" t="s">
        <v>101</v>
      </c>
      <c r="C12" s="137"/>
      <c r="D12" s="160"/>
      <c r="E12" s="10">
        <f>E11-E10</f>
        <v>0</v>
      </c>
      <c r="F12" s="11" t="s">
        <v>3</v>
      </c>
      <c r="G12" s="1"/>
    </row>
    <row r="13" spans="1:7" x14ac:dyDescent="0.25">
      <c r="A13" s="1"/>
      <c r="B13" s="133" t="s">
        <v>94</v>
      </c>
      <c r="C13" s="134"/>
      <c r="D13" s="134"/>
      <c r="E13" s="134"/>
      <c r="F13" s="135"/>
      <c r="G13" s="1"/>
    </row>
    <row r="14" spans="1:7" x14ac:dyDescent="0.25">
      <c r="A14" s="1"/>
      <c r="B14" s="138" t="s">
        <v>210</v>
      </c>
      <c r="C14" s="139"/>
      <c r="D14" s="140"/>
      <c r="E14" s="9">
        <v>5920970</v>
      </c>
      <c r="F14" s="8" t="s">
        <v>3</v>
      </c>
      <c r="G14" s="1"/>
    </row>
    <row r="15" spans="1:7" x14ac:dyDescent="0.25">
      <c r="A15" s="1"/>
      <c r="B15" s="123" t="s">
        <v>211</v>
      </c>
      <c r="C15" s="124"/>
      <c r="D15" s="125"/>
      <c r="E15" s="9">
        <v>4986862.57</v>
      </c>
      <c r="F15" s="8" t="s">
        <v>3</v>
      </c>
      <c r="G15" s="1"/>
    </row>
    <row r="16" spans="1:7" x14ac:dyDescent="0.25">
      <c r="A16" s="1"/>
      <c r="B16" s="136" t="s">
        <v>101</v>
      </c>
      <c r="C16" s="137"/>
      <c r="D16" s="160"/>
      <c r="E16" s="10">
        <f>E15-E14</f>
        <v>-934107.4299999997</v>
      </c>
      <c r="F16" s="11" t="s">
        <v>3</v>
      </c>
      <c r="G16" s="1"/>
    </row>
    <row r="17" spans="1:7" x14ac:dyDescent="0.25">
      <c r="A17" s="1"/>
      <c r="B17" s="32" t="s">
        <v>212</v>
      </c>
      <c r="C17" s="27"/>
      <c r="D17" s="27"/>
      <c r="E17" s="12">
        <f>E12+E16</f>
        <v>-934107.4299999997</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YO6jWOCROFa9NIY3dX731Q1a1c/vsDMN8qxaWqp1ps6yWaJH0IGKR1n2cqfJp9bB9pNkjoVautp3F9NPNQoXw==" saltValue="QKTHY+uebWtzkmqruQSjQ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1" t="s">
        <v>255</v>
      </c>
      <c r="C3" s="121"/>
      <c r="D3" s="121"/>
      <c r="E3" s="121"/>
      <c r="F3" s="121"/>
      <c r="G3" s="121"/>
      <c r="H3" s="121"/>
      <c r="I3" s="121"/>
      <c r="J3" s="121"/>
      <c r="K3" s="121"/>
      <c r="L3" s="1"/>
    </row>
    <row r="4" spans="1:12" ht="15" customHeight="1" x14ac:dyDescent="0.25">
      <c r="A4" s="1"/>
      <c r="B4" s="121"/>
      <c r="C4" s="121"/>
      <c r="D4" s="121"/>
      <c r="E4" s="121"/>
      <c r="F4" s="121"/>
      <c r="G4" s="121"/>
      <c r="H4" s="121"/>
      <c r="I4" s="121"/>
      <c r="J4" s="121"/>
      <c r="K4" s="12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3" t="s">
        <v>219</v>
      </c>
      <c r="C8" s="134"/>
      <c r="D8" s="134"/>
      <c r="E8" s="134"/>
      <c r="F8" s="134"/>
      <c r="G8" s="134"/>
      <c r="H8" s="134"/>
      <c r="I8" s="134"/>
      <c r="J8" s="134"/>
      <c r="K8" s="135"/>
      <c r="L8" s="1"/>
    </row>
    <row r="9" spans="1:12" ht="39.75" customHeight="1" x14ac:dyDescent="0.25">
      <c r="A9" s="1"/>
      <c r="B9" s="18" t="s">
        <v>0</v>
      </c>
      <c r="C9" s="18" t="s">
        <v>1</v>
      </c>
      <c r="D9" s="164" t="s">
        <v>245</v>
      </c>
      <c r="E9" s="165"/>
      <c r="F9" s="164" t="s">
        <v>2</v>
      </c>
      <c r="G9" s="165"/>
      <c r="H9" s="164" t="s">
        <v>244</v>
      </c>
      <c r="I9" s="165"/>
      <c r="J9" s="164" t="s">
        <v>30</v>
      </c>
      <c r="K9" s="165"/>
      <c r="L9" s="1"/>
    </row>
    <row r="10" spans="1:12" x14ac:dyDescent="0.25">
      <c r="A10" s="1"/>
      <c r="B10" s="99" t="s">
        <v>278</v>
      </c>
      <c r="C10" s="41">
        <v>0</v>
      </c>
      <c r="D10" s="9">
        <v>0</v>
      </c>
      <c r="E10" s="14" t="s">
        <v>3</v>
      </c>
      <c r="F10" s="9">
        <f>IFERROR(D10/C10,0)</f>
        <v>0</v>
      </c>
      <c r="G10" s="14" t="s">
        <v>3</v>
      </c>
      <c r="H10" s="44">
        <v>0</v>
      </c>
      <c r="I10" s="14" t="s">
        <v>3</v>
      </c>
      <c r="J10" s="44">
        <v>0</v>
      </c>
      <c r="K10" s="14" t="s">
        <v>3</v>
      </c>
      <c r="L10" s="1"/>
    </row>
    <row r="11" spans="1:12" x14ac:dyDescent="0.25">
      <c r="A11" s="1"/>
      <c r="B11" s="88" t="s">
        <v>220</v>
      </c>
      <c r="C11" s="89"/>
      <c r="D11" s="90"/>
      <c r="E11" s="90"/>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Fd55miypHzl0A9JOx8ZuGiOLBf3EyHqGm4yXL6skZXA23Y1F8bUcUM5+wgX4+RSznUKY4t1+AqxQaIYMBMqY7g==" saltValue="WyKlW2t/vbtaWpdkM6VBv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1"/>
  <sheetViews>
    <sheetView showGridLines="0" view="pageLayout" zoomScaleNormal="100" workbookViewId="0"/>
  </sheetViews>
  <sheetFormatPr defaultColWidth="9.140625" defaultRowHeight="15" x14ac:dyDescent="0.25"/>
  <cols>
    <col min="1" max="1" width="2.42578125" style="2" customWidth="1"/>
    <col min="2" max="2" width="39.5703125" style="2" customWidth="1"/>
    <col min="3" max="3" width="16.28515625" style="2" customWidth="1"/>
    <col min="4" max="4" width="3.28515625" style="2" customWidth="1"/>
    <col min="5" max="5" width="19.14062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256</v>
      </c>
      <c r="C3" s="121"/>
      <c r="D3" s="121"/>
      <c r="E3" s="121"/>
      <c r="F3" s="121"/>
      <c r="G3" s="1"/>
    </row>
    <row r="4" spans="1:7" ht="1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6" t="s">
        <v>17</v>
      </c>
      <c r="C9" s="86" t="s">
        <v>11</v>
      </c>
      <c r="D9" s="87"/>
      <c r="E9" s="86"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ht="26.25" x14ac:dyDescent="0.25">
      <c r="A11" s="1"/>
      <c r="B11" s="81" t="s">
        <v>285</v>
      </c>
      <c r="C11" s="21">
        <v>0</v>
      </c>
      <c r="D11" s="14" t="s">
        <v>3</v>
      </c>
      <c r="E11" s="9">
        <v>7452253</v>
      </c>
      <c r="F11" s="14" t="s">
        <v>3</v>
      </c>
      <c r="G11" s="1"/>
    </row>
    <row r="12" spans="1:7" x14ac:dyDescent="0.25">
      <c r="A12" s="1"/>
      <c r="B12" s="82" t="s">
        <v>280</v>
      </c>
      <c r="C12" s="21">
        <v>0</v>
      </c>
      <c r="D12" s="14" t="s">
        <v>3</v>
      </c>
      <c r="E12" s="9">
        <f>541985+605668</f>
        <v>1147653</v>
      </c>
      <c r="F12" s="14" t="s">
        <v>3</v>
      </c>
      <c r="G12" s="1"/>
    </row>
    <row r="13" spans="1:7" x14ac:dyDescent="0.25">
      <c r="A13" s="1"/>
      <c r="B13" s="82" t="s">
        <v>279</v>
      </c>
      <c r="C13" s="21">
        <v>18201</v>
      </c>
      <c r="D13" s="14" t="s">
        <v>3</v>
      </c>
      <c r="E13" s="9">
        <f>2482+2221</f>
        <v>4703</v>
      </c>
      <c r="F13" s="14" t="s">
        <v>3</v>
      </c>
      <c r="G13" s="1"/>
    </row>
    <row r="14" spans="1:7" x14ac:dyDescent="0.25">
      <c r="A14" s="1"/>
      <c r="B14" s="32" t="s">
        <v>156</v>
      </c>
      <c r="C14" s="12">
        <f>SUM(C10:C13)</f>
        <v>18201</v>
      </c>
      <c r="D14" s="13" t="s">
        <v>3</v>
      </c>
      <c r="E14" s="12">
        <f>SUM(E10:E13)</f>
        <v>8604609</v>
      </c>
      <c r="F14" s="13" t="s">
        <v>3</v>
      </c>
      <c r="G14" s="1"/>
    </row>
    <row r="15" spans="1:7" x14ac:dyDescent="0.25">
      <c r="A15" s="1"/>
      <c r="B15" s="32" t="s">
        <v>213</v>
      </c>
      <c r="C15" s="12">
        <f>C14*(1+'Fane 15. Nøgletal'!C15)</f>
        <v>18848.955600000001</v>
      </c>
      <c r="D15" s="13" t="s">
        <v>3</v>
      </c>
      <c r="E15" s="12">
        <f>E14*(1+'Fane 15. Nøgletal'!C15)</f>
        <v>8910933.0804000013</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49"/>
      <c r="B50" s="49"/>
      <c r="C50" s="49"/>
      <c r="D50" s="49"/>
      <c r="E50" s="49"/>
      <c r="F50" s="49"/>
      <c r="G50" s="49"/>
    </row>
    <row r="51" spans="1:7" x14ac:dyDescent="0.25">
      <c r="A51" s="49"/>
      <c r="B51" s="49"/>
      <c r="C51" s="49"/>
      <c r="D51" s="49"/>
      <c r="E51" s="49"/>
      <c r="F51" s="49"/>
      <c r="G51" s="49"/>
    </row>
  </sheetData>
  <sheetProtection algorithmName="SHA-512" hashValue="2ZtqjPOnnmfiI88DWKq2TBmt7Wp3JvN+5SA8VbDIQ/K5llh/nxI6J/8c9TiNht3r0tGMQPYxdojo4s9XyWCmBw==" saltValue="d5BLWiu5OxW6ZI5bldunp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257</v>
      </c>
      <c r="C3" s="121"/>
      <c r="D3" s="121"/>
      <c r="E3" s="121"/>
      <c r="F3" s="121"/>
      <c r="G3" s="1"/>
    </row>
    <row r="4" spans="1:7" ht="1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3" t="s">
        <v>97</v>
      </c>
      <c r="C8" s="134"/>
      <c r="D8" s="134"/>
      <c r="E8" s="134"/>
      <c r="F8" s="135"/>
      <c r="G8" s="1"/>
    </row>
    <row r="9" spans="1:7" x14ac:dyDescent="0.25">
      <c r="A9" s="1"/>
      <c r="B9" s="86" t="s">
        <v>17</v>
      </c>
      <c r="C9" s="86" t="s">
        <v>11</v>
      </c>
      <c r="D9" s="87"/>
      <c r="E9" s="86" t="s">
        <v>31</v>
      </c>
      <c r="F9" s="31"/>
      <c r="G9" s="1"/>
    </row>
    <row r="10" spans="1:7" x14ac:dyDescent="0.25">
      <c r="A10" s="1"/>
      <c r="B10" s="23" t="s">
        <v>286</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6"/>
      <c r="C14" s="166"/>
      <c r="D14" s="166"/>
      <c r="E14" s="166"/>
      <c r="F14" s="166"/>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6"/>
      <c r="C21" s="166"/>
      <c r="D21" s="166"/>
      <c r="E21" s="166"/>
      <c r="F21" s="166"/>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6"/>
      <c r="C28" s="166"/>
      <c r="D28" s="166"/>
      <c r="E28" s="166"/>
      <c r="F28" s="166"/>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AXsbSH2/9z2iHO3xKNEFsReBpWFnb1NgcAsVfNMUTLuFoJCr2OKuCMCCIzgWAkhN21p3ZsuO6/weiEvYM/afPg==" saltValue="HraplHBG4u7dVthGF6YlD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6" t="s">
        <v>258</v>
      </c>
      <c r="C3" s="126"/>
      <c r="D3" s="126"/>
      <c r="E3" s="126"/>
      <c r="F3" s="126"/>
      <c r="G3" s="1"/>
    </row>
    <row r="4" spans="1:7" ht="15" customHeight="1" x14ac:dyDescent="0.25">
      <c r="A4" s="1"/>
      <c r="B4" s="126"/>
      <c r="C4" s="126"/>
      <c r="D4" s="126"/>
      <c r="E4" s="126"/>
      <c r="F4" s="126"/>
      <c r="G4" s="1"/>
    </row>
    <row r="5" spans="1:7" x14ac:dyDescent="0.25">
      <c r="A5" s="1"/>
      <c r="B5" s="126"/>
      <c r="C5" s="126"/>
      <c r="D5" s="126"/>
      <c r="E5" s="126"/>
      <c r="F5" s="126"/>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3" t="s">
        <v>91</v>
      </c>
      <c r="C9" s="134"/>
      <c r="D9" s="134"/>
      <c r="E9" s="134"/>
      <c r="F9" s="135"/>
      <c r="G9" s="1"/>
    </row>
    <row r="10" spans="1:7" x14ac:dyDescent="0.25">
      <c r="A10" s="1"/>
      <c r="B10" s="161" t="s">
        <v>224</v>
      </c>
      <c r="C10" s="162"/>
      <c r="D10" s="163"/>
      <c r="E10" s="9">
        <v>0</v>
      </c>
      <c r="F10" s="14" t="s">
        <v>3</v>
      </c>
      <c r="G10" s="1"/>
    </row>
    <row r="11" spans="1:7" x14ac:dyDescent="0.25">
      <c r="A11" s="1"/>
      <c r="B11" s="127" t="s">
        <v>10</v>
      </c>
      <c r="C11" s="128"/>
      <c r="D11" s="129"/>
      <c r="E11" s="9">
        <f>-E10*'Fane 5. Individuelt eff. krav'!G9</f>
        <v>0</v>
      </c>
      <c r="F11" s="14" t="s">
        <v>3</v>
      </c>
      <c r="G11" s="1"/>
    </row>
    <row r="12" spans="1:7" x14ac:dyDescent="0.25">
      <c r="A12" s="1"/>
      <c r="B12" s="127" t="s">
        <v>24</v>
      </c>
      <c r="C12" s="128"/>
      <c r="D12" s="129"/>
      <c r="E12" s="9">
        <f>-E10*'Fane 15. Nøgletal'!C31</f>
        <v>0</v>
      </c>
      <c r="F12" s="14" t="s">
        <v>3</v>
      </c>
      <c r="G12" s="1"/>
    </row>
    <row r="13" spans="1:7" x14ac:dyDescent="0.25">
      <c r="A13" s="1"/>
      <c r="B13" s="133" t="s">
        <v>92</v>
      </c>
      <c r="C13" s="134"/>
      <c r="D13" s="135"/>
      <c r="E13" s="12">
        <f>SUM(E10:E12)*(1+'Fane 15. Nøgletal'!C15)^2</f>
        <v>0</v>
      </c>
      <c r="F13" s="13" t="s">
        <v>3</v>
      </c>
      <c r="G13" s="1"/>
    </row>
    <row r="14" spans="1:7" x14ac:dyDescent="0.25">
      <c r="A14" s="1"/>
      <c r="B14" s="1"/>
      <c r="C14" s="1"/>
      <c r="D14" s="1"/>
      <c r="E14" s="1"/>
      <c r="F14" s="1"/>
      <c r="G14" s="1"/>
    </row>
    <row r="15" spans="1:7" ht="15" customHeight="1" x14ac:dyDescent="0.25">
      <c r="A15" s="1"/>
      <c r="B15" s="133" t="s">
        <v>130</v>
      </c>
      <c r="C15" s="134"/>
      <c r="D15" s="134"/>
      <c r="E15" s="134"/>
      <c r="F15" s="135"/>
      <c r="G15" s="1"/>
    </row>
    <row r="16" spans="1:7" x14ac:dyDescent="0.25">
      <c r="A16" s="1"/>
      <c r="B16" s="161" t="s">
        <v>224</v>
      </c>
      <c r="C16" s="162"/>
      <c r="D16" s="163"/>
      <c r="E16" s="9">
        <v>0</v>
      </c>
      <c r="F16" s="14" t="s">
        <v>3</v>
      </c>
      <c r="G16" s="1"/>
    </row>
    <row r="17" spans="1:7" x14ac:dyDescent="0.25">
      <c r="A17" s="1"/>
      <c r="B17" s="127" t="s">
        <v>10</v>
      </c>
      <c r="C17" s="128"/>
      <c r="D17" s="129"/>
      <c r="E17" s="9">
        <f>-E16*'Fane 5. Individuelt eff. krav'!G9</f>
        <v>0</v>
      </c>
      <c r="F17" s="14" t="s">
        <v>3</v>
      </c>
      <c r="G17" s="1"/>
    </row>
    <row r="18" spans="1:7" x14ac:dyDescent="0.25">
      <c r="A18" s="1"/>
      <c r="B18" s="127" t="s">
        <v>24</v>
      </c>
      <c r="C18" s="128"/>
      <c r="D18" s="129"/>
      <c r="E18" s="9">
        <f>-E16*'Fane 15. Nøgletal'!C31</f>
        <v>0</v>
      </c>
      <c r="F18" s="14" t="s">
        <v>3</v>
      </c>
      <c r="G18" s="1"/>
    </row>
    <row r="19" spans="1:7" x14ac:dyDescent="0.25">
      <c r="A19" s="1"/>
      <c r="B19" s="133" t="s">
        <v>131</v>
      </c>
      <c r="C19" s="134"/>
      <c r="D19" s="135"/>
      <c r="E19" s="12">
        <f>SUM(E16:E18)*(1+'Fane 15. Nøgletal'!C15)^3</f>
        <v>0</v>
      </c>
      <c r="F19" s="13" t="s">
        <v>3</v>
      </c>
      <c r="G19" s="1"/>
    </row>
    <row r="20" spans="1:7" x14ac:dyDescent="0.25">
      <c r="A20" s="1"/>
      <c r="B20" s="1"/>
      <c r="C20" s="1"/>
      <c r="D20" s="1"/>
      <c r="E20" s="1"/>
      <c r="F20" s="1"/>
      <c r="G20" s="1"/>
    </row>
    <row r="21" spans="1:7" ht="15" customHeight="1" x14ac:dyDescent="0.25">
      <c r="A21" s="1"/>
      <c r="B21" s="133" t="s">
        <v>157</v>
      </c>
      <c r="C21" s="134"/>
      <c r="D21" s="134"/>
      <c r="E21" s="134"/>
      <c r="F21" s="135"/>
      <c r="G21" s="1"/>
    </row>
    <row r="22" spans="1:7" x14ac:dyDescent="0.25">
      <c r="A22" s="1"/>
      <c r="B22" s="161" t="s">
        <v>224</v>
      </c>
      <c r="C22" s="162"/>
      <c r="D22" s="163"/>
      <c r="E22" s="9">
        <v>0</v>
      </c>
      <c r="F22" s="14" t="s">
        <v>3</v>
      </c>
      <c r="G22" s="1"/>
    </row>
    <row r="23" spans="1:7" x14ac:dyDescent="0.25">
      <c r="A23" s="1"/>
      <c r="B23" s="127" t="s">
        <v>10</v>
      </c>
      <c r="C23" s="128"/>
      <c r="D23" s="129"/>
      <c r="E23" s="9">
        <f>-E22*'Fane 5. Individuelt eff. krav'!G9</f>
        <v>0</v>
      </c>
      <c r="F23" s="14" t="s">
        <v>3</v>
      </c>
      <c r="G23" s="1"/>
    </row>
    <row r="24" spans="1:7" x14ac:dyDescent="0.25">
      <c r="A24" s="1"/>
      <c r="B24" s="127" t="s">
        <v>24</v>
      </c>
      <c r="C24" s="128"/>
      <c r="D24" s="129"/>
      <c r="E24" s="9">
        <f>-E22*'Fane 15. Nøgletal'!C31</f>
        <v>0</v>
      </c>
      <c r="F24" s="14" t="s">
        <v>3</v>
      </c>
      <c r="G24" s="1"/>
    </row>
    <row r="25" spans="1:7" x14ac:dyDescent="0.25">
      <c r="A25" s="1"/>
      <c r="B25" s="133" t="s">
        <v>158</v>
      </c>
      <c r="C25" s="134"/>
      <c r="D25" s="135"/>
      <c r="E25" s="12">
        <f>SUM(E22:E24)*(1+'Fane 15. Nøgletal'!C15)^4</f>
        <v>0</v>
      </c>
      <c r="F25" s="13" t="s">
        <v>3</v>
      </c>
      <c r="G25" s="1"/>
    </row>
    <row r="26" spans="1:7" x14ac:dyDescent="0.25">
      <c r="A26" s="1"/>
      <c r="B26" s="1"/>
      <c r="C26" s="1"/>
      <c r="D26" s="1"/>
      <c r="E26" s="1"/>
      <c r="F26" s="1"/>
      <c r="G26" s="1"/>
    </row>
    <row r="27" spans="1:7" ht="15" customHeight="1" x14ac:dyDescent="0.25">
      <c r="A27" s="1"/>
      <c r="B27" s="133" t="s">
        <v>214</v>
      </c>
      <c r="C27" s="134"/>
      <c r="D27" s="134"/>
      <c r="E27" s="134"/>
      <c r="F27" s="135"/>
      <c r="G27" s="1"/>
    </row>
    <row r="28" spans="1:7" ht="14.25" customHeight="1" x14ac:dyDescent="0.25">
      <c r="A28" s="1"/>
      <c r="B28" s="161" t="s">
        <v>224</v>
      </c>
      <c r="C28" s="162"/>
      <c r="D28" s="163"/>
      <c r="E28" s="9">
        <v>0</v>
      </c>
      <c r="F28" s="14" t="s">
        <v>3</v>
      </c>
      <c r="G28" s="1"/>
    </row>
    <row r="29" spans="1:7" x14ac:dyDescent="0.25">
      <c r="A29" s="1"/>
      <c r="B29" s="127" t="s">
        <v>10</v>
      </c>
      <c r="C29" s="128"/>
      <c r="D29" s="129"/>
      <c r="E29" s="9">
        <f>-E28*'Fane 5. Individuelt eff. krav'!G9</f>
        <v>0</v>
      </c>
      <c r="F29" s="14" t="s">
        <v>3</v>
      </c>
      <c r="G29" s="1"/>
    </row>
    <row r="30" spans="1:7" x14ac:dyDescent="0.25">
      <c r="A30" s="1"/>
      <c r="B30" s="127" t="s">
        <v>24</v>
      </c>
      <c r="C30" s="128"/>
      <c r="D30" s="129"/>
      <c r="E30" s="9">
        <f>-E28*'Fane 15. Nøgletal'!C31</f>
        <v>0</v>
      </c>
      <c r="F30" s="14" t="s">
        <v>3</v>
      </c>
      <c r="G30" s="1"/>
    </row>
    <row r="31" spans="1:7" x14ac:dyDescent="0.25">
      <c r="A31" s="1"/>
      <c r="B31" s="133" t="s">
        <v>215</v>
      </c>
      <c r="C31" s="134"/>
      <c r="D31" s="135"/>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Z9x3DnWdXsZOPfO3ZMPGzWdd60P0a5Efh4x/YDa5KIJENOjtDN1Hj85w3+JZzITCh2tHW67e77s+PKaA/mEw==" saltValue="uBiOWxCY36Je0EMmBaQ/T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85546875" style="2" customWidth="1"/>
    <col min="2" max="2" width="42.42578125" style="2" customWidth="1"/>
    <col min="3" max="3" width="15.5703125" style="2" customWidth="1"/>
    <col min="4" max="4" width="3.28515625" style="2" customWidth="1"/>
    <col min="5" max="5" width="17.140625" style="2" customWidth="1"/>
    <col min="6" max="6" width="3.28515625" style="2" customWidth="1"/>
    <col min="7" max="7" width="2.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6" t="s">
        <v>259</v>
      </c>
      <c r="C3" s="126"/>
      <c r="D3" s="126"/>
      <c r="E3" s="126"/>
      <c r="F3" s="126"/>
      <c r="G3" s="1"/>
    </row>
    <row r="4" spans="1:7" ht="25.5" customHeight="1" x14ac:dyDescent="0.25">
      <c r="A4" s="1"/>
      <c r="B4" s="126"/>
      <c r="C4" s="126"/>
      <c r="D4" s="126"/>
      <c r="E4" s="126"/>
      <c r="F4" s="12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3" t="s">
        <v>132</v>
      </c>
      <c r="C8" s="134"/>
      <c r="D8" s="134"/>
      <c r="E8" s="134"/>
      <c r="F8" s="135"/>
      <c r="G8" s="1"/>
    </row>
    <row r="9" spans="1:7" ht="15" customHeight="1" x14ac:dyDescent="0.25">
      <c r="A9" s="1"/>
      <c r="B9" s="30" t="s">
        <v>133</v>
      </c>
      <c r="C9" s="30" t="s">
        <v>11</v>
      </c>
      <c r="D9" s="31"/>
      <c r="E9" s="30" t="s">
        <v>31</v>
      </c>
      <c r="F9" s="31"/>
      <c r="G9" s="1"/>
    </row>
    <row r="10" spans="1:7" x14ac:dyDescent="0.25">
      <c r="A10" s="1"/>
      <c r="B10" s="23" t="s">
        <v>269</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IdgOT4+wcglfE+zSVtn16m2nZNtyEnbTIWmQqRAg66tGd1qFvb/ZJu4/MTv3cggYL6eZUcDexCoGJ9cix0LgEQ==" saltValue="kb4KvE2DkNe39ACkmlNKP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6" t="s">
        <v>260</v>
      </c>
      <c r="C3" s="126"/>
      <c r="D3" s="126"/>
      <c r="E3" s="126"/>
      <c r="F3" s="126"/>
      <c r="G3" s="1"/>
    </row>
    <row r="4" spans="1:7" ht="25.5" customHeight="1" x14ac:dyDescent="0.25">
      <c r="A4" s="1"/>
      <c r="B4" s="126"/>
      <c r="C4" s="126"/>
      <c r="D4" s="126"/>
      <c r="E4" s="126"/>
      <c r="F4" s="12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3" t="s">
        <v>93</v>
      </c>
      <c r="C9" s="134"/>
      <c r="D9" s="134"/>
      <c r="E9" s="134"/>
      <c r="F9" s="135"/>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6"/>
      <c r="C15" s="166"/>
      <c r="D15" s="166"/>
      <c r="E15" s="166"/>
      <c r="F15" s="166"/>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6"/>
      <c r="C21" s="166"/>
      <c r="D21" s="166"/>
      <c r="E21" s="166"/>
      <c r="F21" s="166"/>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6"/>
      <c r="C27" s="166"/>
      <c r="D27" s="166"/>
      <c r="E27" s="166"/>
      <c r="F27" s="166"/>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3l64bRrWSkldk2HBdwvknz0Lg1f+VPpCyOHF34xrDUbXaLdz8mpdjewE3EuodIW3hYT1Uut7zVdOELeVO219lg==" saltValue="qS60a4bfrnaF5HsJHsJDg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1" t="s">
        <v>181</v>
      </c>
      <c r="C3" s="121"/>
      <c r="D3" s="121"/>
      <c r="E3" s="1"/>
    </row>
    <row r="4" spans="1:5" ht="15" customHeight="1" x14ac:dyDescent="0.25">
      <c r="A4" s="1"/>
      <c r="B4" s="121"/>
      <c r="C4" s="121"/>
      <c r="D4" s="12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82764425.499222368</v>
      </c>
      <c r="D9" s="8" t="s">
        <v>3</v>
      </c>
      <c r="E9" s="1"/>
    </row>
    <row r="10" spans="1:5" ht="17.25" customHeight="1" x14ac:dyDescent="0.25">
      <c r="A10" s="1"/>
      <c r="B10" s="85" t="s">
        <v>39</v>
      </c>
      <c r="C10" s="7">
        <f>'Fane 11.1. Varige tillæg'!C15</f>
        <v>18848.955600000001</v>
      </c>
      <c r="D10" s="8" t="s">
        <v>3</v>
      </c>
      <c r="E10" s="1"/>
    </row>
    <row r="11" spans="1:5" ht="17.25" customHeight="1" x14ac:dyDescent="0.25">
      <c r="A11" s="1"/>
      <c r="B11" s="85" t="s">
        <v>40</v>
      </c>
      <c r="C11" s="9">
        <f>'Fane 11.1. Varige tillæg'!E15</f>
        <v>8910933.0804000013</v>
      </c>
      <c r="D11" s="8" t="s">
        <v>3</v>
      </c>
      <c r="E11" s="1"/>
    </row>
    <row r="12" spans="1:5" ht="17.25" customHeight="1" x14ac:dyDescent="0.25">
      <c r="A12" s="1"/>
      <c r="B12" s="85" t="s">
        <v>27</v>
      </c>
      <c r="C12" s="9">
        <f>-'Fane 14. Bortfald'!C13</f>
        <v>0</v>
      </c>
      <c r="D12" s="8" t="s">
        <v>3</v>
      </c>
      <c r="E12" s="1"/>
    </row>
    <row r="13" spans="1:5" ht="17.25" customHeight="1" x14ac:dyDescent="0.25">
      <c r="A13" s="1"/>
      <c r="B13" s="85" t="s">
        <v>26</v>
      </c>
      <c r="C13" s="9">
        <f>-'Fane 14. Bortfald'!E13</f>
        <v>0</v>
      </c>
      <c r="D13" s="8" t="s">
        <v>3</v>
      </c>
      <c r="E13" s="1"/>
    </row>
    <row r="14" spans="1:5" ht="17.25" customHeight="1" x14ac:dyDescent="0.25">
      <c r="A14" s="1"/>
      <c r="B14" s="85" t="s">
        <v>124</v>
      </c>
      <c r="C14" s="9">
        <f>'Fane 13. Tilknyttet virksomhed'!C12</f>
        <v>0</v>
      </c>
      <c r="D14" s="8" t="s">
        <v>3</v>
      </c>
      <c r="E14" s="1"/>
    </row>
    <row r="15" spans="1:5" ht="17.25" customHeight="1" x14ac:dyDescent="0.25">
      <c r="A15" s="1"/>
      <c r="B15" s="85" t="s">
        <v>125</v>
      </c>
      <c r="C15" s="9">
        <f>'Fane 13. Tilknyttet virksomhed'!E12</f>
        <v>0</v>
      </c>
      <c r="D15" s="8" t="s">
        <v>3</v>
      </c>
      <c r="E15" s="1"/>
    </row>
    <row r="16" spans="1:5" ht="17.25" customHeight="1" x14ac:dyDescent="0.25">
      <c r="A16" s="1"/>
      <c r="B16" s="85" t="s">
        <v>19</v>
      </c>
      <c r="C16" s="44">
        <f>SUM(C9)*'Fane 15. Nøgletal'!C14+SUM(C10:C15)*'Fane 15. Nøgletal'!C15</f>
        <v>591022.84462903393</v>
      </c>
      <c r="D16" s="8" t="s">
        <v>3</v>
      </c>
      <c r="E16" s="1"/>
    </row>
    <row r="17" spans="1:5" ht="17.25" customHeight="1" x14ac:dyDescent="0.25">
      <c r="A17" s="1"/>
      <c r="B17" s="85" t="s">
        <v>10</v>
      </c>
      <c r="C17" s="44">
        <f>-SUM(C9,C10:C16)*'Fane 5. Individuelt eff. krav'!G9</f>
        <v>-1845704.6075970281</v>
      </c>
      <c r="D17" s="8" t="s">
        <v>3</v>
      </c>
      <c r="E17" s="1"/>
    </row>
    <row r="18" spans="1:5" ht="17.25" customHeight="1" x14ac:dyDescent="0.25">
      <c r="A18" s="1"/>
      <c r="B18" s="85" t="s">
        <v>24</v>
      </c>
      <c r="C18" s="44">
        <f>-'Fane 4.1. Gen. krav - drift'!G45</f>
        <v>-363720.95743429055</v>
      </c>
      <c r="D18" s="8" t="s">
        <v>3</v>
      </c>
      <c r="E18" s="1"/>
    </row>
    <row r="19" spans="1:5" ht="17.25" customHeight="1" x14ac:dyDescent="0.25">
      <c r="A19" s="1"/>
      <c r="B19" s="85" t="s">
        <v>25</v>
      </c>
      <c r="C19" s="44">
        <f>-'Fane 4.2. Gen. krav - anlæg'!G43</f>
        <v>-1029896.9584549251</v>
      </c>
      <c r="D19" s="8" t="s">
        <v>3</v>
      </c>
      <c r="E19" s="48"/>
    </row>
    <row r="20" spans="1:5" ht="17.25" customHeight="1" x14ac:dyDescent="0.25">
      <c r="A20" s="1"/>
      <c r="B20" s="91" t="s">
        <v>21</v>
      </c>
      <c r="C20" s="10">
        <f>SUM(C9:C19)</f>
        <v>89045907.856365159</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omk.'!C14+'Fane 6. Ikke-påvirkelige omk.'!C18+'Fane 6. Ikke-påvirkelige omk.'!C26</f>
        <v>47443793.086365119</v>
      </c>
      <c r="D22" s="11" t="s">
        <v>3</v>
      </c>
      <c r="E22" s="1"/>
    </row>
    <row r="23" spans="1:5" ht="15" customHeight="1" x14ac:dyDescent="0.25">
      <c r="A23" s="1"/>
      <c r="B23" s="32" t="s">
        <v>86</v>
      </c>
      <c r="C23" s="27"/>
      <c r="D23" s="19"/>
      <c r="E23" s="1"/>
    </row>
    <row r="24" spans="1:5" ht="15" customHeight="1" x14ac:dyDescent="0.25">
      <c r="A24" s="1"/>
      <c r="B24" s="91"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5" t="s">
        <v>231</v>
      </c>
      <c r="C26" s="75">
        <f>'Fane 11.2. Engangstillæg'!C12</f>
        <v>0</v>
      </c>
      <c r="D26" s="8" t="s">
        <v>3</v>
      </c>
      <c r="E26" s="1"/>
    </row>
    <row r="27" spans="1:5" ht="15" customHeight="1" x14ac:dyDescent="0.25">
      <c r="A27" s="1"/>
      <c r="B27" s="85" t="s">
        <v>82</v>
      </c>
      <c r="C27" s="75">
        <f>'Fane 11.2. Engangstillæg'!E12</f>
        <v>0</v>
      </c>
      <c r="D27" s="8" t="s">
        <v>3</v>
      </c>
      <c r="E27" s="1"/>
    </row>
    <row r="28" spans="1:5" ht="15" customHeight="1" x14ac:dyDescent="0.25">
      <c r="A28" s="1"/>
      <c r="B28" s="85" t="s">
        <v>238</v>
      </c>
      <c r="C28" s="75">
        <f>-C26*('Fane 15. Nøgletal'!C31+'Fane 5. Individuelt eff. krav'!G9)</f>
        <v>0</v>
      </c>
      <c r="D28" s="8" t="s">
        <v>3</v>
      </c>
      <c r="E28" s="1"/>
    </row>
    <row r="29" spans="1:5" ht="15" customHeight="1" x14ac:dyDescent="0.25">
      <c r="A29" s="1"/>
      <c r="B29" s="85" t="s">
        <v>239</v>
      </c>
      <c r="C29" s="75">
        <f>-C27*('Fane 15. Nøgletal'!C26+'Fane 5. Individuelt eff. krav'!G9)</f>
        <v>0</v>
      </c>
      <c r="D29" s="8" t="s">
        <v>3</v>
      </c>
      <c r="E29" s="1"/>
    </row>
    <row r="30" spans="1:5" ht="15" customHeight="1" x14ac:dyDescent="0.25">
      <c r="A30" s="1"/>
      <c r="B30" s="97"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-430992.40599043667</v>
      </c>
      <c r="D32" s="11" t="s">
        <v>3</v>
      </c>
      <c r="E32" s="1"/>
    </row>
    <row r="33" spans="1:5" ht="15" customHeight="1" x14ac:dyDescent="0.25">
      <c r="A33" s="1"/>
      <c r="B33" s="32" t="s">
        <v>185</v>
      </c>
      <c r="C33" s="27"/>
      <c r="D33" s="19"/>
      <c r="E33" s="1"/>
    </row>
    <row r="34" spans="1:5" x14ac:dyDescent="0.25">
      <c r="A34" s="1"/>
      <c r="B34" s="30" t="s">
        <v>185</v>
      </c>
      <c r="C34" s="10">
        <f>'Fane 9. Korrektion af ØR2021'!E17</f>
        <v>-934107.4299999997</v>
      </c>
      <c r="D34" s="11" t="s">
        <v>3</v>
      </c>
      <c r="E34" s="1"/>
    </row>
    <row r="35" spans="1:5" x14ac:dyDescent="0.25">
      <c r="A35" s="1"/>
      <c r="B35" s="29" t="s">
        <v>175</v>
      </c>
      <c r="C35" s="27"/>
      <c r="D35" s="19"/>
      <c r="E35" s="1"/>
    </row>
    <row r="36" spans="1:5" x14ac:dyDescent="0.25">
      <c r="A36" s="1"/>
      <c r="B36" s="97" t="s">
        <v>176</v>
      </c>
      <c r="C36" s="10">
        <f>'Fane 8. Skattesagen'!G12</f>
        <v>0</v>
      </c>
      <c r="D36" s="11" t="s">
        <v>3</v>
      </c>
      <c r="E36" s="1"/>
    </row>
    <row r="37" spans="1:5" x14ac:dyDescent="0.25">
      <c r="A37" s="1"/>
      <c r="B37" s="32" t="s">
        <v>90</v>
      </c>
      <c r="C37" s="57">
        <f>SUM(C34,C32,C24,C30,C22,C20,C36)</f>
        <v>135124601.10673985</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Cci7L0J5l8OCbI+yB/C5XpAXEnpb1CdvWtUHEu3i2l798lgEru7f8NhBvw3u0FW8qdXOr9ZgyJheT9cTRrBlsQ==" saltValue="DU4uh6KkWOu+GT8+JuaG3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6" t="s">
        <v>261</v>
      </c>
      <c r="C3" s="126"/>
      <c r="D3" s="1"/>
    </row>
    <row r="4" spans="1:4" ht="25.5" customHeight="1" x14ac:dyDescent="0.25">
      <c r="A4" s="1"/>
      <c r="B4" s="126"/>
      <c r="C4" s="12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6" t="s">
        <v>112</v>
      </c>
      <c r="C9" s="24">
        <v>1.2699999999999999E-2</v>
      </c>
      <c r="D9" s="1"/>
    </row>
    <row r="10" spans="1:4" x14ac:dyDescent="0.25">
      <c r="A10" s="1"/>
      <c r="B10" s="96" t="s">
        <v>113</v>
      </c>
      <c r="C10" s="24">
        <v>1.7500000000000002E-2</v>
      </c>
      <c r="D10" s="1"/>
    </row>
    <row r="11" spans="1:4" x14ac:dyDescent="0.25">
      <c r="A11" s="1"/>
      <c r="B11" s="96"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6"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6" t="s">
        <v>114</v>
      </c>
      <c r="C20" s="22">
        <v>9.1000000000000004E-3</v>
      </c>
      <c r="D20" s="1"/>
    </row>
    <row r="21" spans="1:4" x14ac:dyDescent="0.25">
      <c r="A21" s="1"/>
      <c r="B21" s="96" t="s">
        <v>145</v>
      </c>
      <c r="C21" s="22">
        <v>1.77E-2</v>
      </c>
      <c r="D21" s="1"/>
    </row>
    <row r="22" spans="1:4" x14ac:dyDescent="0.25">
      <c r="A22" s="1"/>
      <c r="B22" s="96" t="s">
        <v>146</v>
      </c>
      <c r="C22" s="22">
        <v>8.6999999999999994E-3</v>
      </c>
      <c r="D22" s="1"/>
    </row>
    <row r="23" spans="1:4" x14ac:dyDescent="0.25">
      <c r="A23" s="1"/>
      <c r="B23" s="96" t="s">
        <v>115</v>
      </c>
      <c r="C23" s="35">
        <v>2.8400000000000002E-2</v>
      </c>
      <c r="D23" s="1"/>
    </row>
    <row r="24" spans="1:4" x14ac:dyDescent="0.25">
      <c r="A24" s="1"/>
      <c r="B24" s="96" t="s">
        <v>147</v>
      </c>
      <c r="C24" s="35">
        <v>2.75E-2</v>
      </c>
      <c r="D24" s="1"/>
    </row>
    <row r="25" spans="1:4" x14ac:dyDescent="0.25">
      <c r="A25" s="1"/>
      <c r="B25" s="96"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6"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rT1MyE/kQXfAA0IED3hKiLyWWVkt6RGRW6BLeRwcZYjICP+woYjrF/TezhfD+PSTbfcpXiyJYB0YrkwwS2CtLA==" saltValue="j5C8sQT71LQYTol+P6sVj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1" t="s">
        <v>186</v>
      </c>
      <c r="C3" s="121"/>
      <c r="D3" s="121"/>
      <c r="E3" s="1"/>
    </row>
    <row r="4" spans="1:5" ht="15" customHeight="1" x14ac:dyDescent="0.25">
      <c r="A4" s="1"/>
      <c r="B4" s="121"/>
      <c r="C4" s="121"/>
      <c r="D4" s="121"/>
      <c r="E4" s="1"/>
    </row>
    <row r="5" spans="1:5" x14ac:dyDescent="0.25">
      <c r="A5" s="1"/>
      <c r="B5" s="122" t="s">
        <v>22</v>
      </c>
      <c r="C5" s="122"/>
      <c r="D5" s="122"/>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89045907.856365159</v>
      </c>
      <c r="D9" s="8" t="s">
        <v>3</v>
      </c>
      <c r="E9" s="1"/>
    </row>
    <row r="10" spans="1:5" ht="15" customHeight="1" x14ac:dyDescent="0.25">
      <c r="A10" s="1"/>
      <c r="B10" s="25" t="s">
        <v>19</v>
      </c>
      <c r="C10" s="7">
        <f>SUM(C9:C9)*'Fane 15. Nøgletal'!C15</f>
        <v>3170034.3196865995</v>
      </c>
      <c r="D10" s="8" t="s">
        <v>3</v>
      </c>
      <c r="E10" s="1"/>
    </row>
    <row r="11" spans="1:5" ht="15" customHeight="1" x14ac:dyDescent="0.25">
      <c r="A11" s="1"/>
      <c r="B11" s="25" t="s">
        <v>10</v>
      </c>
      <c r="C11" s="9">
        <f>-SUM(C9:C10)*'Fane 5. Individuelt eff. krav'!G9</f>
        <v>-1844318.8435210353</v>
      </c>
      <c r="D11" s="8" t="s">
        <v>3</v>
      </c>
      <c r="E11" s="1"/>
    </row>
    <row r="12" spans="1:5" ht="15" customHeight="1" x14ac:dyDescent="0.25">
      <c r="A12" s="1"/>
      <c r="B12" s="25" t="s">
        <v>24</v>
      </c>
      <c r="C12" s="9">
        <f>-'Fane 4.1. Gen. krav - drift'!G53</f>
        <v>-369136.03504857235</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90002487.297482163</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Nøgletal'!C15)+'Fane 6. Ikke-påvirkelige omk.'!C19+'Fane 6. Ikke-påvirkelige omk.'!C27</f>
        <v>39723586.071439721</v>
      </c>
      <c r="D16" s="11" t="s">
        <v>3</v>
      </c>
      <c r="E16" s="1"/>
    </row>
    <row r="17" spans="1:5" ht="15" customHeight="1" x14ac:dyDescent="0.25">
      <c r="A17" s="1"/>
      <c r="B17" s="32" t="s">
        <v>86</v>
      </c>
      <c r="C17" s="27"/>
      <c r="D17" s="19"/>
      <c r="E17" s="1"/>
    </row>
    <row r="18" spans="1:5" ht="15" customHeight="1" x14ac:dyDescent="0.25">
      <c r="A18" s="1"/>
      <c r="B18" s="91"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7" t="s">
        <v>176</v>
      </c>
      <c r="C22" s="10">
        <f>'Fane 8. Skattesagen'!G13</f>
        <v>0</v>
      </c>
      <c r="D22" s="11" t="s">
        <v>3</v>
      </c>
      <c r="E22" s="1"/>
    </row>
    <row r="23" spans="1:5" x14ac:dyDescent="0.25">
      <c r="A23" s="1"/>
      <c r="B23" s="32" t="s">
        <v>128</v>
      </c>
      <c r="C23" s="12">
        <f>SUM(C14,C16,C18,C20,C22)</f>
        <v>129726073.36892188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4ANbBTj0dRTV7EL1TNf3wxlMAiC25pISJWLXvi9UHf9PHG8M2OcJpYjLzprVv0jp54aXfXif1tMUYfWG/pgE+Q==" saltValue="yWCV6NzbPh2SlOOXAqWlu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1" t="s">
        <v>187</v>
      </c>
      <c r="C3" s="121"/>
      <c r="D3" s="121"/>
      <c r="E3" s="1"/>
    </row>
    <row r="4" spans="1:5" ht="15" customHeight="1" x14ac:dyDescent="0.25">
      <c r="A4" s="1"/>
      <c r="B4" s="121"/>
      <c r="C4" s="121"/>
      <c r="D4" s="121"/>
      <c r="E4" s="1"/>
    </row>
    <row r="5" spans="1:5" x14ac:dyDescent="0.25">
      <c r="A5" s="1"/>
      <c r="B5" s="122" t="s">
        <v>22</v>
      </c>
      <c r="C5" s="122"/>
      <c r="D5" s="122"/>
      <c r="E5" s="1"/>
    </row>
    <row r="6" spans="1:5" x14ac:dyDescent="0.25">
      <c r="A6" s="1"/>
      <c r="B6" s="83"/>
      <c r="C6" s="83"/>
      <c r="D6" s="83"/>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90002487.297482163</v>
      </c>
      <c r="D9" s="8" t="s">
        <v>3</v>
      </c>
      <c r="E9" s="1"/>
    </row>
    <row r="10" spans="1:5" ht="15" customHeight="1" x14ac:dyDescent="0.25">
      <c r="A10" s="1"/>
      <c r="B10" s="25" t="s">
        <v>19</v>
      </c>
      <c r="C10" s="7">
        <f>SUM(C9:C9)*'Fane 15. Nøgletal'!C15</f>
        <v>3204088.5477903648</v>
      </c>
      <c r="D10" s="8" t="s">
        <v>3</v>
      </c>
      <c r="E10" s="1"/>
    </row>
    <row r="11" spans="1:5" ht="15" customHeight="1" x14ac:dyDescent="0.25">
      <c r="A11" s="1"/>
      <c r="B11" s="25" t="s">
        <v>10</v>
      </c>
      <c r="C11" s="9">
        <f>-SUM(C9:C10)*'Fane 5. Individuelt eff. krav'!G9</f>
        <v>-1864131.5169054505</v>
      </c>
      <c r="D11" s="8" t="s">
        <v>3</v>
      </c>
      <c r="E11" s="1"/>
    </row>
    <row r="12" spans="1:5" ht="15" customHeight="1" x14ac:dyDescent="0.25">
      <c r="A12" s="1"/>
      <c r="B12" s="25" t="s">
        <v>24</v>
      </c>
      <c r="C12" s="9">
        <f>-'Fane 4.1. Gen. krav - drift'!G58</f>
        <v>-374631.73233837553</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90967812.5960287</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Nøgletal'!C15)^2+'Fane 6. Ikke-påvirkelige omk.'!C20+'Fane 6. Ikke-påvirkelige omk.'!C28</f>
        <v>41009289.937582977</v>
      </c>
      <c r="D16" s="11" t="s">
        <v>3</v>
      </c>
      <c r="E16" s="1"/>
    </row>
    <row r="17" spans="1:5" ht="15" customHeight="1" x14ac:dyDescent="0.25">
      <c r="A17" s="1"/>
      <c r="B17" s="32" t="s">
        <v>86</v>
      </c>
      <c r="C17" s="27"/>
      <c r="D17" s="19"/>
      <c r="E17" s="1"/>
    </row>
    <row r="18" spans="1:5" ht="15" customHeight="1" x14ac:dyDescent="0.25">
      <c r="A18" s="1"/>
      <c r="B18" s="91"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7" t="s">
        <v>176</v>
      </c>
      <c r="C22" s="10">
        <f>'Fane 8. Skattesagen'!G14</f>
        <v>0</v>
      </c>
      <c r="D22" s="11" t="s">
        <v>3</v>
      </c>
      <c r="E22" s="1"/>
    </row>
    <row r="23" spans="1:5" x14ac:dyDescent="0.25">
      <c r="A23" s="1"/>
      <c r="B23" s="32" t="s">
        <v>149</v>
      </c>
      <c r="C23" s="12">
        <f>SUM(C14,C16,C18,C20,C22)</f>
        <v>131977102.53361169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6xwa4tlim/mdv3Wci1I871DewfgfP8OZrJSuKp/QVEvb+ILb+kJvec60oR0RetqakyvLEKG5X0skUEF93UHZtg==" saltValue="JWcI3S1NxX+dP0FxOhhtD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1" t="s">
        <v>188</v>
      </c>
      <c r="C3" s="121"/>
      <c r="D3" s="121"/>
      <c r="E3" s="1"/>
    </row>
    <row r="4" spans="1:5" ht="15" customHeight="1" x14ac:dyDescent="0.25">
      <c r="A4" s="1"/>
      <c r="B4" s="121"/>
      <c r="C4" s="121"/>
      <c r="D4" s="121"/>
      <c r="E4" s="1"/>
    </row>
    <row r="5" spans="1:5" x14ac:dyDescent="0.25">
      <c r="A5" s="1"/>
      <c r="B5" s="122" t="s">
        <v>22</v>
      </c>
      <c r="C5" s="122"/>
      <c r="D5" s="122"/>
      <c r="E5" s="1"/>
    </row>
    <row r="6" spans="1:5" x14ac:dyDescent="0.25">
      <c r="A6" s="1"/>
      <c r="B6" s="83"/>
      <c r="C6" s="83"/>
      <c r="D6" s="83"/>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90967812.5960287</v>
      </c>
      <c r="D9" s="8" t="s">
        <v>3</v>
      </c>
      <c r="E9" s="1"/>
    </row>
    <row r="10" spans="1:5" ht="15" customHeight="1" x14ac:dyDescent="0.25">
      <c r="A10" s="1"/>
      <c r="B10" s="25" t="s">
        <v>19</v>
      </c>
      <c r="C10" s="7">
        <f>SUM(C9:C9)*'Fane 15. Nøgletal'!C15</f>
        <v>3238454.1284186216</v>
      </c>
      <c r="D10" s="8" t="s">
        <v>3</v>
      </c>
      <c r="E10" s="1"/>
    </row>
    <row r="11" spans="1:5" ht="15" customHeight="1" x14ac:dyDescent="0.25">
      <c r="A11" s="1"/>
      <c r="B11" s="25" t="s">
        <v>10</v>
      </c>
      <c r="C11" s="9">
        <f>-SUM(C9:C10)*'Fane 5. Individuelt eff. krav'!G9</f>
        <v>-1884125.3344889465</v>
      </c>
      <c r="D11" s="8" t="s">
        <v>3</v>
      </c>
      <c r="E11" s="1"/>
    </row>
    <row r="12" spans="1:5" ht="15" customHeight="1" x14ac:dyDescent="0.25">
      <c r="A12" s="1"/>
      <c r="B12" s="25" t="s">
        <v>24</v>
      </c>
      <c r="C12" s="9">
        <f>-'Fane 4.1. Gen. krav - drift'!G63</f>
        <v>-380209.24956942926</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91941932.140388951</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Nøgletal'!C15)^3+'Fane 6. Ikke-påvirkelige omk.'!C21+'Fane 6. Ikke-påvirkelige omk.'!C29</f>
        <v>42177905.303760938</v>
      </c>
      <c r="D16" s="11" t="s">
        <v>3</v>
      </c>
      <c r="E16" s="1"/>
    </row>
    <row r="17" spans="1:5" ht="15" customHeight="1" x14ac:dyDescent="0.25">
      <c r="A17" s="1"/>
      <c r="B17" s="32" t="s">
        <v>86</v>
      </c>
      <c r="C17" s="27"/>
      <c r="D17" s="19"/>
      <c r="E17" s="1"/>
    </row>
    <row r="18" spans="1:5" ht="15" customHeight="1" x14ac:dyDescent="0.25">
      <c r="A18" s="1"/>
      <c r="B18" s="91"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7" t="s">
        <v>176</v>
      </c>
      <c r="C22" s="10">
        <f>'Fane 8. Skattesagen'!G15</f>
        <v>0</v>
      </c>
      <c r="D22" s="11" t="s">
        <v>3</v>
      </c>
      <c r="E22" s="1"/>
    </row>
    <row r="23" spans="1:5" x14ac:dyDescent="0.25">
      <c r="A23" s="1"/>
      <c r="B23" s="32" t="s">
        <v>190</v>
      </c>
      <c r="C23" s="12">
        <f>SUM(C14,C16,C18,C20,C22)</f>
        <v>134119837.44414988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qLwK9xEncq7G2oDy4yqFuASFsY/yx7rfJKyV8dwiNSDam2X1jmF6rUQtSrSnboZBi+NNbAB2VlwmQfT6K9/7w==" saltValue="wiCwQ5Ozo5szLIFLj1GSe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showWhiteSpace="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6" t="s">
        <v>191</v>
      </c>
      <c r="C3" s="126"/>
      <c r="D3" s="126"/>
      <c r="E3" s="126"/>
      <c r="F3" s="126"/>
      <c r="G3" s="1"/>
    </row>
    <row r="4" spans="1:7" ht="29.25" customHeight="1" x14ac:dyDescent="0.25">
      <c r="A4" s="1"/>
      <c r="B4" s="126"/>
      <c r="C4" s="126"/>
      <c r="D4" s="126"/>
      <c r="E4" s="126"/>
      <c r="F4" s="12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287</v>
      </c>
      <c r="C8" s="27"/>
      <c r="D8" s="27"/>
      <c r="E8" s="27"/>
      <c r="F8" s="19"/>
      <c r="G8" s="1"/>
    </row>
    <row r="9" spans="1:7" ht="15" customHeight="1" x14ac:dyDescent="0.25">
      <c r="A9" s="1"/>
      <c r="B9" s="123" t="s">
        <v>192</v>
      </c>
      <c r="C9" s="124"/>
      <c r="D9" s="125"/>
      <c r="E9" s="7">
        <v>82783063.331525266</v>
      </c>
      <c r="F9" s="8" t="s">
        <v>3</v>
      </c>
      <c r="G9" s="1"/>
    </row>
    <row r="10" spans="1:7" ht="15" customHeight="1" x14ac:dyDescent="0.25">
      <c r="A10" s="1"/>
      <c r="B10" s="127" t="s">
        <v>39</v>
      </c>
      <c r="C10" s="128"/>
      <c r="D10" s="129"/>
      <c r="E10" s="7">
        <v>26585.443400000004</v>
      </c>
      <c r="F10" s="8" t="s">
        <v>3</v>
      </c>
      <c r="G10" s="1"/>
    </row>
    <row r="11" spans="1:7" ht="15" customHeight="1" x14ac:dyDescent="0.25">
      <c r="A11" s="1"/>
      <c r="B11" s="127" t="s">
        <v>40</v>
      </c>
      <c r="C11" s="128"/>
      <c r="D11" s="129"/>
      <c r="E11" s="9">
        <v>2801590.8408000004</v>
      </c>
      <c r="F11" s="8" t="s">
        <v>3</v>
      </c>
      <c r="G11" s="1"/>
    </row>
    <row r="12" spans="1:7" ht="15" customHeight="1" x14ac:dyDescent="0.25">
      <c r="A12" s="1"/>
      <c r="B12" s="127" t="s">
        <v>27</v>
      </c>
      <c r="C12" s="128"/>
      <c r="D12" s="129"/>
      <c r="E12" s="9">
        <v>0</v>
      </c>
      <c r="F12" s="8" t="s">
        <v>3</v>
      </c>
      <c r="G12" s="1"/>
    </row>
    <row r="13" spans="1:7" ht="15" customHeight="1" x14ac:dyDescent="0.25">
      <c r="A13" s="1"/>
      <c r="B13" s="123" t="s">
        <v>26</v>
      </c>
      <c r="C13" s="124"/>
      <c r="D13" s="125"/>
      <c r="E13" s="9">
        <v>0</v>
      </c>
      <c r="F13" s="8" t="s">
        <v>3</v>
      </c>
      <c r="G13" s="1"/>
    </row>
    <row r="14" spans="1:7" ht="15" customHeight="1" x14ac:dyDescent="0.25">
      <c r="A14" s="1"/>
      <c r="B14" s="123" t="s">
        <v>29</v>
      </c>
      <c r="C14" s="124"/>
      <c r="D14" s="125"/>
      <c r="E14" s="9">
        <v>0</v>
      </c>
      <c r="F14" s="8" t="s">
        <v>3</v>
      </c>
      <c r="G14" s="1"/>
    </row>
    <row r="15" spans="1:7" ht="15" customHeight="1" x14ac:dyDescent="0.25">
      <c r="A15" s="1"/>
      <c r="B15" s="123" t="s">
        <v>28</v>
      </c>
      <c r="C15" s="124"/>
      <c r="D15" s="125"/>
      <c r="E15" s="9">
        <v>0</v>
      </c>
      <c r="F15" s="8" t="s">
        <v>3</v>
      </c>
      <c r="G15" s="1"/>
    </row>
    <row r="16" spans="1:7" ht="15" customHeight="1" x14ac:dyDescent="0.25">
      <c r="A16" s="1"/>
      <c r="B16" s="123" t="s">
        <v>19</v>
      </c>
      <c r="C16" s="124"/>
      <c r="D16" s="125"/>
      <c r="E16" s="9">
        <f>SUM(E9:E15)*'Fane 15. Nøgletal'!C14</f>
        <v>282517.09073189338</v>
      </c>
      <c r="F16" s="8" t="s">
        <v>3</v>
      </c>
      <c r="G16" s="1"/>
    </row>
    <row r="17" spans="1:7" ht="15" customHeight="1" x14ac:dyDescent="0.25">
      <c r="A17" s="1"/>
      <c r="B17" s="123" t="s">
        <v>10</v>
      </c>
      <c r="C17" s="124"/>
      <c r="D17" s="125"/>
      <c r="E17" s="9">
        <v>-1717875.1341291431</v>
      </c>
      <c r="F17" s="8" t="s">
        <v>3</v>
      </c>
      <c r="G17" s="1"/>
    </row>
    <row r="18" spans="1:7" ht="15" customHeight="1" x14ac:dyDescent="0.25">
      <c r="A18" s="1"/>
      <c r="B18" s="123" t="s">
        <v>24</v>
      </c>
      <c r="C18" s="124"/>
      <c r="D18" s="125"/>
      <c r="E18" s="9">
        <f>-'Fane 4.1. Gen. krav - drift'!G39</f>
        <v>-369526.03130679304</v>
      </c>
      <c r="F18" s="8" t="s">
        <v>3</v>
      </c>
      <c r="G18" s="1"/>
    </row>
    <row r="19" spans="1:7" ht="15" customHeight="1" x14ac:dyDescent="0.25">
      <c r="A19" s="1"/>
      <c r="B19" s="123" t="s">
        <v>25</v>
      </c>
      <c r="C19" s="124"/>
      <c r="D19" s="125"/>
      <c r="E19" s="9">
        <f>-'Fane 4.2. Gen. krav - anlæg'!G37</f>
        <v>-1041930.0417988532</v>
      </c>
      <c r="F19" s="8" t="s">
        <v>3</v>
      </c>
      <c r="G19" s="1"/>
    </row>
    <row r="20" spans="1:7" ht="15" customHeight="1" x14ac:dyDescent="0.25">
      <c r="A20" s="1"/>
      <c r="B20" s="54" t="s">
        <v>21</v>
      </c>
      <c r="C20" s="92"/>
      <c r="D20" s="98"/>
      <c r="E20" s="51">
        <f>SUM(E9:E19)</f>
        <v>82764425.499222368</v>
      </c>
      <c r="F20" s="53" t="s">
        <v>3</v>
      </c>
      <c r="G20" s="1"/>
    </row>
    <row r="21" spans="1:7" ht="15" customHeight="1" x14ac:dyDescent="0.25">
      <c r="A21" s="1"/>
      <c r="B21" s="32" t="s">
        <v>12</v>
      </c>
      <c r="C21" s="27"/>
      <c r="D21" s="27"/>
      <c r="E21" s="27"/>
      <c r="F21" s="19"/>
      <c r="G21" s="1"/>
    </row>
    <row r="22" spans="1:7" ht="15" customHeight="1" x14ac:dyDescent="0.25">
      <c r="A22" s="1"/>
      <c r="B22" s="130" t="s">
        <v>12</v>
      </c>
      <c r="C22" s="131"/>
      <c r="D22" s="132"/>
      <c r="E22" s="10">
        <v>43528171.609921068</v>
      </c>
      <c r="F22" s="11" t="s">
        <v>3</v>
      </c>
      <c r="G22" s="1"/>
    </row>
    <row r="23" spans="1:7" ht="15" customHeight="1" x14ac:dyDescent="0.25">
      <c r="A23" s="1"/>
      <c r="B23" s="133" t="s">
        <v>86</v>
      </c>
      <c r="C23" s="134"/>
      <c r="D23" s="135"/>
      <c r="E23" s="27"/>
      <c r="F23" s="27"/>
      <c r="G23" s="1"/>
    </row>
    <row r="24" spans="1:7" ht="15" customHeight="1" x14ac:dyDescent="0.25">
      <c r="A24" s="1"/>
      <c r="B24" s="91"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7" t="s">
        <v>81</v>
      </c>
      <c r="C26" s="128"/>
      <c r="D26" s="129"/>
      <c r="E26" s="9">
        <v>0</v>
      </c>
      <c r="F26" s="8" t="s">
        <v>3</v>
      </c>
      <c r="G26" s="1"/>
    </row>
    <row r="27" spans="1:7" ht="15" customHeight="1" x14ac:dyDescent="0.25">
      <c r="A27" s="1"/>
      <c r="B27" s="127" t="s">
        <v>82</v>
      </c>
      <c r="C27" s="128"/>
      <c r="D27" s="128"/>
      <c r="E27" s="9">
        <v>0</v>
      </c>
      <c r="F27" s="8" t="s">
        <v>3</v>
      </c>
      <c r="G27" s="1"/>
    </row>
    <row r="28" spans="1:7" ht="15" customHeight="1" x14ac:dyDescent="0.25">
      <c r="A28" s="1"/>
      <c r="B28" s="136" t="s">
        <v>87</v>
      </c>
      <c r="C28" s="137"/>
      <c r="D28" s="137"/>
      <c r="E28" s="39">
        <v>0</v>
      </c>
      <c r="F28" s="11" t="s">
        <v>3</v>
      </c>
      <c r="G28" s="1"/>
    </row>
    <row r="29" spans="1:7" ht="15" customHeight="1" x14ac:dyDescent="0.25">
      <c r="A29" s="1"/>
      <c r="B29" s="32" t="s">
        <v>143</v>
      </c>
      <c r="C29" s="32"/>
      <c r="D29" s="32"/>
      <c r="E29" s="27"/>
      <c r="F29" s="27"/>
      <c r="G29" s="1"/>
    </row>
    <row r="30" spans="1:7" ht="15" customHeight="1" x14ac:dyDescent="0.25">
      <c r="A30" s="1"/>
      <c r="B30" s="130" t="s">
        <v>142</v>
      </c>
      <c r="C30" s="131"/>
      <c r="D30" s="131"/>
      <c r="E30" s="39">
        <v>-1082356.1620925814</v>
      </c>
      <c r="F30" s="11" t="s">
        <v>3</v>
      </c>
      <c r="G30" s="1"/>
    </row>
    <row r="31" spans="1:7" x14ac:dyDescent="0.25">
      <c r="A31" s="1"/>
      <c r="B31" s="32" t="s">
        <v>123</v>
      </c>
      <c r="C31" s="27"/>
      <c r="D31" s="27"/>
      <c r="E31" s="27"/>
      <c r="F31" s="27"/>
      <c r="G31" s="1"/>
    </row>
    <row r="32" spans="1:7" ht="15.4" customHeight="1" x14ac:dyDescent="0.25">
      <c r="A32" s="1"/>
      <c r="B32" s="130" t="s">
        <v>123</v>
      </c>
      <c r="C32" s="131"/>
      <c r="D32" s="132"/>
      <c r="E32" s="10">
        <v>-1626576</v>
      </c>
      <c r="F32" s="11" t="s">
        <v>3</v>
      </c>
      <c r="G32" s="1"/>
    </row>
    <row r="33" spans="1:7" ht="15.4" customHeight="1" x14ac:dyDescent="0.25">
      <c r="A33" s="1"/>
      <c r="B33" s="133" t="s">
        <v>175</v>
      </c>
      <c r="C33" s="134"/>
      <c r="D33" s="134"/>
      <c r="E33" s="134"/>
      <c r="F33" s="135"/>
      <c r="G33" s="1"/>
    </row>
    <row r="34" spans="1:7" ht="15.4" customHeight="1" x14ac:dyDescent="0.25">
      <c r="A34" s="1"/>
      <c r="B34" s="97" t="s">
        <v>176</v>
      </c>
      <c r="C34" s="10"/>
      <c r="D34" s="11"/>
      <c r="E34" s="10">
        <f>'Fane 8. Skattesagen'!G11</f>
        <v>0</v>
      </c>
      <c r="F34" s="11" t="s">
        <v>3</v>
      </c>
      <c r="G34" s="1"/>
    </row>
    <row r="35" spans="1:7" x14ac:dyDescent="0.25">
      <c r="A35" s="1"/>
      <c r="B35" s="55" t="s">
        <v>218</v>
      </c>
      <c r="C35" s="56"/>
      <c r="D35" s="19"/>
      <c r="E35" s="45">
        <f>SUM(E32,E30,E28,E24,E22,E20,E34)</f>
        <v>123583664.94705085</v>
      </c>
      <c r="F35" s="52" t="s">
        <v>3</v>
      </c>
      <c r="G35" s="1"/>
    </row>
    <row r="36" spans="1:7" ht="27" customHeight="1" x14ac:dyDescent="0.25">
      <c r="A36" s="1"/>
      <c r="B36" s="123" t="s">
        <v>222</v>
      </c>
      <c r="C36" s="124"/>
      <c r="D36" s="124"/>
      <c r="E36" s="124"/>
      <c r="F36" s="125"/>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b/T3zM0ZfEHl5xFsqxNPkro+EexXZ5hZam7ycpcECDWAA4sZ14sF73E+titAdNowpiWVlmSgqHek+4TUSdhxMA==" saltValue="4zBOQ5eigNEekQHQUGIOCQ=="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8" zoomScaleNormal="100" zoomScalePageLayoutView="98" workbookViewId="0"/>
  </sheetViews>
  <sheetFormatPr defaultColWidth="9.140625" defaultRowHeight="15" x14ac:dyDescent="0.25"/>
  <cols>
    <col min="1" max="1" width="2.28515625" style="2" customWidth="1"/>
    <col min="2" max="5" width="9.140625" style="2"/>
    <col min="6" max="6" width="22.28515625" style="2" customWidth="1"/>
    <col min="7" max="7" width="16.28515625" style="2" customWidth="1"/>
    <col min="8" max="8" width="3.42578125" style="2" customWidth="1"/>
    <col min="9" max="9" width="2.28515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6" t="s">
        <v>109</v>
      </c>
      <c r="C2" s="126"/>
      <c r="D2" s="126"/>
      <c r="E2" s="126"/>
      <c r="F2" s="126"/>
      <c r="G2" s="126"/>
      <c r="H2" s="126"/>
      <c r="I2" s="1"/>
    </row>
    <row r="3" spans="1:9" ht="28.5" customHeight="1" x14ac:dyDescent="0.25">
      <c r="A3" s="1"/>
      <c r="B3" s="126"/>
      <c r="C3" s="126"/>
      <c r="D3" s="126"/>
      <c r="E3" s="126"/>
      <c r="F3" s="126"/>
      <c r="G3" s="126"/>
      <c r="H3" s="126"/>
      <c r="I3" s="1"/>
    </row>
    <row r="4" spans="1:9" x14ac:dyDescent="0.25">
      <c r="A4" s="1"/>
      <c r="B4" s="133" t="s">
        <v>52</v>
      </c>
      <c r="C4" s="134"/>
      <c r="D4" s="134"/>
      <c r="E4" s="134"/>
      <c r="F4" s="134"/>
      <c r="G4" s="134"/>
      <c r="H4" s="135"/>
      <c r="I4" s="1"/>
    </row>
    <row r="5" spans="1:9" x14ac:dyDescent="0.25">
      <c r="A5" s="1"/>
      <c r="B5" s="138" t="s">
        <v>41</v>
      </c>
      <c r="C5" s="139"/>
      <c r="D5" s="139"/>
      <c r="E5" s="139"/>
      <c r="F5" s="140"/>
      <c r="G5" s="76">
        <v>18896515</v>
      </c>
      <c r="H5" s="14" t="s">
        <v>3</v>
      </c>
      <c r="I5" s="1"/>
    </row>
    <row r="6" spans="1:9" x14ac:dyDescent="0.25">
      <c r="A6" s="1"/>
      <c r="B6" s="123" t="s">
        <v>120</v>
      </c>
      <c r="C6" s="124"/>
      <c r="D6" s="124"/>
      <c r="E6" s="124"/>
      <c r="F6" s="125"/>
      <c r="G6" s="77">
        <v>0</v>
      </c>
      <c r="H6" s="14" t="s">
        <v>3</v>
      </c>
      <c r="I6" s="1"/>
    </row>
    <row r="7" spans="1:9" x14ac:dyDescent="0.25">
      <c r="A7" s="1"/>
      <c r="B7" s="138" t="s">
        <v>42</v>
      </c>
      <c r="C7" s="139"/>
      <c r="D7" s="139"/>
      <c r="E7" s="139"/>
      <c r="F7" s="140"/>
      <c r="G7" s="76">
        <f>SUM(G5:G6)*'Fane 15. Nøgletal'!C31</f>
        <v>377930.3</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3" t="s">
        <v>53</v>
      </c>
      <c r="C10" s="134"/>
      <c r="D10" s="134"/>
      <c r="E10" s="134"/>
      <c r="F10" s="134"/>
      <c r="G10" s="141"/>
      <c r="H10" s="135"/>
      <c r="I10" s="1"/>
    </row>
    <row r="11" spans="1:9" x14ac:dyDescent="0.25">
      <c r="A11" s="1"/>
      <c r="B11" s="138" t="s">
        <v>43</v>
      </c>
      <c r="C11" s="139"/>
      <c r="D11" s="139"/>
      <c r="E11" s="139"/>
      <c r="F11" s="140"/>
      <c r="G11" s="76">
        <f>(G5-G7)*(1+'Fane 15. Nøgletal'!C10)</f>
        <v>18842659.932250001</v>
      </c>
      <c r="H11" s="14" t="s">
        <v>3</v>
      </c>
      <c r="I11" s="1"/>
    </row>
    <row r="12" spans="1:9" ht="15" customHeight="1" x14ac:dyDescent="0.25">
      <c r="A12" s="1"/>
      <c r="B12" s="138" t="s">
        <v>121</v>
      </c>
      <c r="C12" s="139"/>
      <c r="D12" s="139"/>
      <c r="E12" s="139"/>
      <c r="F12" s="140"/>
      <c r="G12" s="77">
        <v>0</v>
      </c>
      <c r="H12" s="14" t="s">
        <v>3</v>
      </c>
      <c r="I12" s="1"/>
    </row>
    <row r="13" spans="1:9" x14ac:dyDescent="0.25">
      <c r="A13" s="1"/>
      <c r="B13" s="123" t="s">
        <v>118</v>
      </c>
      <c r="C13" s="124"/>
      <c r="D13" s="124"/>
      <c r="E13" s="124"/>
      <c r="F13" s="125"/>
      <c r="G13" s="77">
        <v>0</v>
      </c>
      <c r="H13" s="14" t="s">
        <v>3</v>
      </c>
      <c r="I13" s="1"/>
    </row>
    <row r="14" spans="1:9" x14ac:dyDescent="0.25">
      <c r="A14" s="1"/>
      <c r="B14" s="145" t="s">
        <v>44</v>
      </c>
      <c r="C14" s="146"/>
      <c r="D14" s="146"/>
      <c r="E14" s="146"/>
      <c r="F14" s="147"/>
      <c r="G14" s="77">
        <v>0</v>
      </c>
      <c r="H14" s="14" t="s">
        <v>3</v>
      </c>
      <c r="I14" s="1"/>
    </row>
    <row r="15" spans="1:9" x14ac:dyDescent="0.25">
      <c r="A15" s="1"/>
      <c r="B15" s="138" t="s">
        <v>45</v>
      </c>
      <c r="C15" s="139"/>
      <c r="D15" s="139"/>
      <c r="E15" s="139"/>
      <c r="F15" s="140"/>
      <c r="G15" s="76">
        <f>SUM(G11:G14)*'Fane 15. Nøgletal'!C31</f>
        <v>376853.198645</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3" t="s">
        <v>54</v>
      </c>
      <c r="C18" s="134"/>
      <c r="D18" s="134"/>
      <c r="E18" s="134"/>
      <c r="F18" s="134"/>
      <c r="G18" s="141"/>
      <c r="H18" s="135"/>
      <c r="I18" s="1"/>
    </row>
    <row r="19" spans="1:9" x14ac:dyDescent="0.25">
      <c r="A19" s="1"/>
      <c r="B19" s="138" t="s">
        <v>46</v>
      </c>
      <c r="C19" s="139"/>
      <c r="D19" s="139"/>
      <c r="E19" s="139"/>
      <c r="F19" s="140"/>
      <c r="G19" s="76">
        <f>(SUM(G11:G12,G14)-(G15))*(1+'Fane 15. Nøgletal'!C10)</f>
        <v>18788958.35144309</v>
      </c>
      <c r="H19" s="14" t="s">
        <v>3</v>
      </c>
      <c r="I19" s="1"/>
    </row>
    <row r="20" spans="1:9" x14ac:dyDescent="0.25">
      <c r="A20" s="1"/>
      <c r="B20" s="145" t="s">
        <v>47</v>
      </c>
      <c r="C20" s="146"/>
      <c r="D20" s="146"/>
      <c r="E20" s="146"/>
      <c r="F20" s="147"/>
      <c r="G20" s="77">
        <v>0</v>
      </c>
      <c r="H20" s="14" t="s">
        <v>3</v>
      </c>
      <c r="I20" s="1"/>
    </row>
    <row r="21" spans="1:9" x14ac:dyDescent="0.25">
      <c r="A21" s="1"/>
      <c r="B21" s="138" t="s">
        <v>48</v>
      </c>
      <c r="C21" s="139"/>
      <c r="D21" s="139"/>
      <c r="E21" s="139"/>
      <c r="F21" s="140"/>
      <c r="G21" s="76">
        <f>SUM(G19:G20)*'Fane 15. Nøgletal'!C31</f>
        <v>375779.16702886182</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3" t="s">
        <v>55</v>
      </c>
      <c r="C24" s="134"/>
      <c r="D24" s="134"/>
      <c r="E24" s="134"/>
      <c r="F24" s="134"/>
      <c r="G24" s="141"/>
      <c r="H24" s="135"/>
      <c r="I24" s="1"/>
    </row>
    <row r="25" spans="1:9" x14ac:dyDescent="0.25">
      <c r="A25" s="1"/>
      <c r="B25" s="138" t="s">
        <v>49</v>
      </c>
      <c r="C25" s="139"/>
      <c r="D25" s="139"/>
      <c r="E25" s="139"/>
      <c r="F25" s="140"/>
      <c r="G25" s="76">
        <f>(G19+G20-G21)*(1+'Fane 15. Nøgletal'!C12)</f>
        <v>18775918.814347189</v>
      </c>
      <c r="H25" s="14" t="s">
        <v>3</v>
      </c>
      <c r="I25" s="1"/>
    </row>
    <row r="26" spans="1:9" x14ac:dyDescent="0.25">
      <c r="A26" s="1"/>
      <c r="B26" s="145" t="s">
        <v>50</v>
      </c>
      <c r="C26" s="146"/>
      <c r="D26" s="146"/>
      <c r="E26" s="146"/>
      <c r="F26" s="147"/>
      <c r="G26" s="77">
        <v>0</v>
      </c>
      <c r="H26" s="14" t="s">
        <v>3</v>
      </c>
      <c r="I26" s="1"/>
    </row>
    <row r="27" spans="1:9" x14ac:dyDescent="0.25">
      <c r="A27" s="1"/>
      <c r="B27" s="138" t="s">
        <v>51</v>
      </c>
      <c r="C27" s="139"/>
      <c r="D27" s="139"/>
      <c r="E27" s="139"/>
      <c r="F27" s="140"/>
      <c r="G27" s="76">
        <f>(G25+G26)*'Fane 15. Nøgletal'!C31</f>
        <v>375518.37628694379</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3" t="s">
        <v>58</v>
      </c>
      <c r="C30" s="134"/>
      <c r="D30" s="134"/>
      <c r="E30" s="134"/>
      <c r="F30" s="134"/>
      <c r="G30" s="141"/>
      <c r="H30" s="135"/>
      <c r="I30" s="1"/>
    </row>
    <row r="31" spans="1:9" x14ac:dyDescent="0.25">
      <c r="A31" s="1"/>
      <c r="B31" s="138" t="s">
        <v>59</v>
      </c>
      <c r="C31" s="139"/>
      <c r="D31" s="139"/>
      <c r="E31" s="139"/>
      <c r="F31" s="140"/>
      <c r="G31" s="76">
        <f>(G25+G26-G27)*(1+'Fane 15. Nøgletal'!C12)</f>
        <v>18762888.326690033</v>
      </c>
      <c r="H31" s="14" t="s">
        <v>3</v>
      </c>
      <c r="I31" s="1"/>
    </row>
    <row r="32" spans="1:9" x14ac:dyDescent="0.25">
      <c r="A32" s="1"/>
      <c r="B32" s="138" t="s">
        <v>137</v>
      </c>
      <c r="C32" s="139"/>
      <c r="D32" s="139"/>
      <c r="E32" s="139"/>
      <c r="F32" s="140"/>
      <c r="G32" s="76">
        <v>1341.1344315600002</v>
      </c>
      <c r="H32" s="14" t="s">
        <v>3</v>
      </c>
      <c r="I32" s="1"/>
    </row>
    <row r="33" spans="1:9" x14ac:dyDescent="0.25">
      <c r="A33" s="1"/>
      <c r="B33" s="138" t="s">
        <v>60</v>
      </c>
      <c r="C33" s="139"/>
      <c r="D33" s="139"/>
      <c r="E33" s="139"/>
      <c r="F33" s="140"/>
      <c r="G33" s="76">
        <f>(G31+G32)*'Fane 15. Nøgletal'!C31</f>
        <v>375284.58922243188</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3" t="s">
        <v>160</v>
      </c>
      <c r="C36" s="134"/>
      <c r="D36" s="134"/>
      <c r="E36" s="134"/>
      <c r="F36" s="134"/>
      <c r="G36" s="141"/>
      <c r="H36" s="135"/>
      <c r="I36" s="1"/>
    </row>
    <row r="37" spans="1:9" x14ac:dyDescent="0.25">
      <c r="A37" s="1"/>
      <c r="B37" s="138" t="s">
        <v>79</v>
      </c>
      <c r="C37" s="139"/>
      <c r="D37" s="139"/>
      <c r="E37" s="139"/>
      <c r="F37" s="140"/>
      <c r="G37" s="76">
        <f>(G31+G32-G33)*(1+'Fane 15. Nøgletal'!C14)</f>
        <v>18449628.389976431</v>
      </c>
      <c r="H37" s="14" t="s">
        <v>3</v>
      </c>
      <c r="I37" s="1"/>
    </row>
    <row r="38" spans="1:9" x14ac:dyDescent="0.25">
      <c r="A38" s="1"/>
      <c r="B38" s="138" t="s">
        <v>164</v>
      </c>
      <c r="C38" s="139"/>
      <c r="D38" s="139"/>
      <c r="E38" s="139"/>
      <c r="F38" s="140"/>
      <c r="G38" s="76">
        <v>26673.175363220005</v>
      </c>
      <c r="H38" s="14" t="s">
        <v>3</v>
      </c>
      <c r="I38" s="1"/>
    </row>
    <row r="39" spans="1:9" x14ac:dyDescent="0.25">
      <c r="A39" s="1"/>
      <c r="B39" s="138" t="s">
        <v>162</v>
      </c>
      <c r="C39" s="139"/>
      <c r="D39" s="139"/>
      <c r="E39" s="139"/>
      <c r="F39" s="140"/>
      <c r="G39" s="76">
        <f>(G37+G38)*'Fane 15. Nøgletal'!C31</f>
        <v>369526.03130679304</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3" t="s">
        <v>161</v>
      </c>
      <c r="C42" s="134"/>
      <c r="D42" s="134"/>
      <c r="E42" s="134"/>
      <c r="F42" s="134"/>
      <c r="G42" s="141"/>
      <c r="H42" s="135"/>
      <c r="I42" s="1"/>
    </row>
    <row r="43" spans="1:9" x14ac:dyDescent="0.25">
      <c r="A43" s="1"/>
      <c r="B43" s="138" t="s">
        <v>228</v>
      </c>
      <c r="C43" s="139"/>
      <c r="D43" s="139"/>
      <c r="E43" s="139"/>
      <c r="F43" s="140"/>
      <c r="G43" s="76">
        <f>(G37+G38-G39)*(1+'Fane 15. Nøgletal'!C14)</f>
        <v>18166527.893295169</v>
      </c>
      <c r="H43" s="14" t="s">
        <v>3</v>
      </c>
      <c r="I43" s="1"/>
    </row>
    <row r="44" spans="1:9" x14ac:dyDescent="0.25">
      <c r="A44" s="1"/>
      <c r="B44" s="142" t="s">
        <v>230</v>
      </c>
      <c r="C44" s="143"/>
      <c r="D44" s="143"/>
      <c r="E44" s="143"/>
      <c r="F44" s="144"/>
      <c r="G44" s="80">
        <f>('Fane 2.1. Økonomisk ramme 2023'!C10+'Fane 2.1. Økonomisk ramme 2023'!C12+'Fane 2.1. Økonomisk ramme 2023'!C14)*(1+'Fane 15. Nøgletal'!C15)</f>
        <v>19519.978419360003</v>
      </c>
      <c r="H44" s="14" t="s">
        <v>3</v>
      </c>
      <c r="I44" s="1"/>
    </row>
    <row r="45" spans="1:9" x14ac:dyDescent="0.25">
      <c r="A45" s="1"/>
      <c r="B45" s="138" t="s">
        <v>163</v>
      </c>
      <c r="C45" s="139"/>
      <c r="D45" s="139"/>
      <c r="E45" s="139"/>
      <c r="F45" s="140"/>
      <c r="G45" s="76">
        <f>SUM(G43:G44)*'Fane 15. Nøgletal'!C31</f>
        <v>363720.95743429055</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3" t="s">
        <v>241</v>
      </c>
      <c r="C51" s="134"/>
      <c r="D51" s="134"/>
      <c r="E51" s="134"/>
      <c r="F51" s="134"/>
      <c r="G51" s="141"/>
      <c r="H51" s="135"/>
      <c r="I51" s="1"/>
    </row>
    <row r="52" spans="1:9" x14ac:dyDescent="0.25">
      <c r="A52" s="1"/>
      <c r="B52" s="138" t="s">
        <v>227</v>
      </c>
      <c r="C52" s="139"/>
      <c r="D52" s="139"/>
      <c r="E52" s="139"/>
      <c r="F52" s="140"/>
      <c r="G52" s="76">
        <f>(G43+G44-G45)*(1+'Fane 15. Nøgletal'!C15)</f>
        <v>18456801.752428617</v>
      </c>
      <c r="H52" s="14" t="s">
        <v>3</v>
      </c>
      <c r="I52" s="1"/>
    </row>
    <row r="53" spans="1:9" x14ac:dyDescent="0.25">
      <c r="A53" s="1"/>
      <c r="B53" s="138" t="s">
        <v>138</v>
      </c>
      <c r="C53" s="139"/>
      <c r="D53" s="139"/>
      <c r="E53" s="139"/>
      <c r="F53" s="140"/>
      <c r="G53" s="76">
        <f>(G52)*'Fane 15. Nøgletal'!C31</f>
        <v>369136.03504857235</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3" t="s">
        <v>150</v>
      </c>
      <c r="C56" s="134"/>
      <c r="D56" s="134"/>
      <c r="E56" s="134"/>
      <c r="F56" s="134"/>
      <c r="G56" s="141"/>
      <c r="H56" s="135"/>
      <c r="I56" s="1"/>
    </row>
    <row r="57" spans="1:9" x14ac:dyDescent="0.25">
      <c r="A57" s="1"/>
      <c r="B57" s="93" t="s">
        <v>151</v>
      </c>
      <c r="C57" s="94"/>
      <c r="D57" s="94"/>
      <c r="E57" s="94"/>
      <c r="F57" s="95"/>
      <c r="G57" s="76">
        <f>(G52-G53)*(1+'Fane 15. Nøgletal'!C15)</f>
        <v>18731586.616918776</v>
      </c>
      <c r="H57" s="14" t="s">
        <v>3</v>
      </c>
      <c r="I57" s="1"/>
    </row>
    <row r="58" spans="1:9" x14ac:dyDescent="0.25">
      <c r="A58" s="1"/>
      <c r="B58" s="93" t="s">
        <v>152</v>
      </c>
      <c r="C58" s="94"/>
      <c r="D58" s="94"/>
      <c r="E58" s="94"/>
      <c r="F58" s="95"/>
      <c r="G58" s="76">
        <f>(G57)*'Fane 15. Nøgletal'!C31</f>
        <v>374631.73233837553</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3" t="s">
        <v>193</v>
      </c>
      <c r="C61" s="134"/>
      <c r="D61" s="134"/>
      <c r="E61" s="134"/>
      <c r="F61" s="134"/>
      <c r="G61" s="141"/>
      <c r="H61" s="135"/>
      <c r="I61" s="1"/>
    </row>
    <row r="62" spans="1:9" x14ac:dyDescent="0.25">
      <c r="A62" s="1"/>
      <c r="B62" s="93" t="s">
        <v>194</v>
      </c>
      <c r="C62" s="94"/>
      <c r="D62" s="94"/>
      <c r="E62" s="94"/>
      <c r="F62" s="95"/>
      <c r="G62" s="76">
        <f>(G57-G58)*(1+'Fane 15. Nøgletal'!C15)</f>
        <v>19010462.478471462</v>
      </c>
      <c r="H62" s="14" t="s">
        <v>3</v>
      </c>
      <c r="I62" s="1"/>
    </row>
    <row r="63" spans="1:9" x14ac:dyDescent="0.25">
      <c r="A63" s="1"/>
      <c r="B63" s="93" t="s">
        <v>195</v>
      </c>
      <c r="C63" s="94"/>
      <c r="D63" s="94"/>
      <c r="E63" s="94"/>
      <c r="F63" s="95"/>
      <c r="G63" s="76">
        <f>(G62)*'Fane 15. Nøgletal'!C31</f>
        <v>380209.24956942926</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9ycf5/yECUVxg/CuTNWOEatEJuAPEzacBCkVXlvvwszw2ECJHzgNimmAxaz5sfUrpI6GhkRPB4SUTqosMS1Mbg==" saltValue="LNVMDZRDCTv1A/7ipOYlWQ=="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9" zoomScaleNormal="100" zoomScalePageLayoutView="89" workbookViewId="0"/>
  </sheetViews>
  <sheetFormatPr defaultColWidth="9.140625" defaultRowHeight="15" x14ac:dyDescent="0.25"/>
  <cols>
    <col min="1" max="1" width="2.140625" style="2" customWidth="1"/>
    <col min="2" max="5" width="9.140625" style="2"/>
    <col min="6" max="6" width="27.85546875" style="2" customWidth="1"/>
    <col min="7" max="7" width="14.140625" style="2" customWidth="1"/>
    <col min="8" max="8" width="3.28515625" style="2" customWidth="1"/>
    <col min="9" max="9" width="2.140625" style="2" customWidth="1"/>
    <col min="10" max="16384" width="9.140625" style="2"/>
  </cols>
  <sheetData>
    <row r="1" spans="1:9" ht="14.25" customHeight="1" x14ac:dyDescent="0.25">
      <c r="A1" s="1"/>
      <c r="B1" s="148" t="s">
        <v>110</v>
      </c>
      <c r="C1" s="148"/>
      <c r="D1" s="148"/>
      <c r="E1" s="148"/>
      <c r="F1" s="148"/>
      <c r="G1" s="148"/>
      <c r="H1" s="148"/>
      <c r="I1" s="1"/>
    </row>
    <row r="2" spans="1:9" ht="15" customHeight="1" x14ac:dyDescent="0.25">
      <c r="A2" s="1"/>
      <c r="B2" s="148"/>
      <c r="C2" s="148"/>
      <c r="D2" s="148"/>
      <c r="E2" s="148"/>
      <c r="F2" s="148"/>
      <c r="G2" s="148"/>
      <c r="H2" s="148"/>
      <c r="I2" s="1"/>
    </row>
    <row r="3" spans="1:9" ht="15" customHeight="1" x14ac:dyDescent="0.25">
      <c r="A3" s="1"/>
      <c r="B3" s="149"/>
      <c r="C3" s="149"/>
      <c r="D3" s="149"/>
      <c r="E3" s="149"/>
      <c r="F3" s="149"/>
      <c r="G3" s="149"/>
      <c r="H3" s="149"/>
      <c r="I3" s="1"/>
    </row>
    <row r="4" spans="1:9" x14ac:dyDescent="0.25">
      <c r="A4" s="1"/>
      <c r="B4" s="133" t="s">
        <v>56</v>
      </c>
      <c r="C4" s="134"/>
      <c r="D4" s="134"/>
      <c r="E4" s="134"/>
      <c r="F4" s="134"/>
      <c r="G4" s="134"/>
      <c r="H4" s="135"/>
      <c r="I4" s="1"/>
    </row>
    <row r="5" spans="1:9" x14ac:dyDescent="0.25">
      <c r="A5" s="1"/>
      <c r="B5" s="138" t="s">
        <v>61</v>
      </c>
      <c r="C5" s="139"/>
      <c r="D5" s="139"/>
      <c r="E5" s="139"/>
      <c r="F5" s="140"/>
      <c r="G5" s="76">
        <v>45368092</v>
      </c>
      <c r="H5" s="14" t="s">
        <v>3</v>
      </c>
      <c r="I5" s="1"/>
    </row>
    <row r="6" spans="1:9" x14ac:dyDescent="0.25">
      <c r="A6" s="1"/>
      <c r="B6" s="138" t="s">
        <v>57</v>
      </c>
      <c r="C6" s="139"/>
      <c r="D6" s="139"/>
      <c r="E6" s="139"/>
      <c r="F6" s="140"/>
      <c r="G6" s="76">
        <f>G5*'Fane 15. Nøgletal'!C20</f>
        <v>412849.6372</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3" t="s">
        <v>62</v>
      </c>
      <c r="C9" s="134"/>
      <c r="D9" s="134"/>
      <c r="E9" s="134"/>
      <c r="F9" s="134"/>
      <c r="G9" s="141"/>
      <c r="H9" s="135"/>
      <c r="I9" s="1"/>
    </row>
    <row r="10" spans="1:9" x14ac:dyDescent="0.25">
      <c r="A10" s="1"/>
      <c r="B10" s="138" t="s">
        <v>63</v>
      </c>
      <c r="C10" s="139"/>
      <c r="D10" s="139"/>
      <c r="E10" s="139"/>
      <c r="F10" s="140"/>
      <c r="G10" s="76">
        <f>(G5-G6)*(1+'Fane 15. Nøgletal'!C10)</f>
        <v>45741959.104149006</v>
      </c>
      <c r="H10" s="14" t="s">
        <v>3</v>
      </c>
      <c r="I10" s="1"/>
    </row>
    <row r="11" spans="1:9" x14ac:dyDescent="0.25">
      <c r="A11" s="1"/>
      <c r="B11" s="138" t="s">
        <v>122</v>
      </c>
      <c r="C11" s="139"/>
      <c r="D11" s="139"/>
      <c r="E11" s="139"/>
      <c r="F11" s="140"/>
      <c r="G11" s="76">
        <v>-2190616.6516207349</v>
      </c>
      <c r="H11" s="14" t="s">
        <v>3</v>
      </c>
      <c r="I11" s="1"/>
    </row>
    <row r="12" spans="1:9" x14ac:dyDescent="0.25">
      <c r="A12" s="1"/>
      <c r="B12" s="145" t="s">
        <v>64</v>
      </c>
      <c r="C12" s="146"/>
      <c r="D12" s="146"/>
      <c r="E12" s="146"/>
      <c r="F12" s="147"/>
      <c r="G12" s="77">
        <v>0</v>
      </c>
      <c r="H12" s="14" t="s">
        <v>3</v>
      </c>
      <c r="I12" s="1"/>
    </row>
    <row r="13" spans="1:9" x14ac:dyDescent="0.25">
      <c r="A13" s="1"/>
      <c r="B13" s="138" t="s">
        <v>65</v>
      </c>
      <c r="C13" s="139"/>
      <c r="D13" s="139"/>
      <c r="E13" s="139"/>
      <c r="F13" s="140"/>
      <c r="G13" s="76">
        <f>SUM(G10:G12)*'Fane 15. Nøgletal'!C21</f>
        <v>770858.76140975032</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3" t="s">
        <v>66</v>
      </c>
      <c r="C16" s="134"/>
      <c r="D16" s="134"/>
      <c r="E16" s="134"/>
      <c r="F16" s="134"/>
      <c r="G16" s="141"/>
      <c r="H16" s="135"/>
      <c r="I16" s="1"/>
    </row>
    <row r="17" spans="1:9" x14ac:dyDescent="0.25">
      <c r="A17" s="1"/>
      <c r="B17" s="138" t="s">
        <v>67</v>
      </c>
      <c r="C17" s="139"/>
      <c r="D17" s="139"/>
      <c r="E17" s="139"/>
      <c r="F17" s="140"/>
      <c r="G17" s="76">
        <f>(SUM(G10:G12)-G13)*(1+'Fane 15. Nøgletal'!C10)</f>
        <v>43529142.155713096</v>
      </c>
      <c r="H17" s="14" t="s">
        <v>3</v>
      </c>
      <c r="I17" s="1"/>
    </row>
    <row r="18" spans="1:9" x14ac:dyDescent="0.25">
      <c r="A18" s="1"/>
      <c r="B18" s="145" t="s">
        <v>68</v>
      </c>
      <c r="C18" s="146"/>
      <c r="D18" s="146"/>
      <c r="E18" s="146"/>
      <c r="F18" s="147"/>
      <c r="G18" s="76">
        <v>7379302.128524648</v>
      </c>
      <c r="H18" s="14" t="s">
        <v>3</v>
      </c>
      <c r="I18" s="1"/>
    </row>
    <row r="19" spans="1:9" x14ac:dyDescent="0.25">
      <c r="A19" s="1"/>
      <c r="B19" s="138" t="s">
        <v>69</v>
      </c>
      <c r="C19" s="139"/>
      <c r="D19" s="139"/>
      <c r="E19" s="139"/>
      <c r="F19" s="140"/>
      <c r="G19" s="76">
        <f>G17*'Fane 15. Nøgletal'!C21+G18*'Fane 15. Nøgletal'!C22</f>
        <v>834665.74467428622</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3" t="s">
        <v>70</v>
      </c>
      <c r="C22" s="134"/>
      <c r="D22" s="134"/>
      <c r="E22" s="134"/>
      <c r="F22" s="134"/>
      <c r="G22" s="141"/>
      <c r="H22" s="135"/>
      <c r="I22" s="1"/>
    </row>
    <row r="23" spans="1:9" x14ac:dyDescent="0.25">
      <c r="A23" s="1"/>
      <c r="B23" s="138" t="s">
        <v>71</v>
      </c>
      <c r="C23" s="139"/>
      <c r="D23" s="139"/>
      <c r="E23" s="139"/>
      <c r="F23" s="140"/>
      <c r="G23" s="76">
        <f>(G17+G18-G19)*(1+'Fane 15. Nøgletal'!C12)</f>
        <v>51060231.976792857</v>
      </c>
      <c r="H23" s="14" t="s">
        <v>3</v>
      </c>
      <c r="I23" s="1"/>
    </row>
    <row r="24" spans="1:9" x14ac:dyDescent="0.25">
      <c r="A24" s="1"/>
      <c r="B24" s="145" t="s">
        <v>72</v>
      </c>
      <c r="C24" s="146"/>
      <c r="D24" s="146"/>
      <c r="E24" s="146"/>
      <c r="F24" s="147"/>
      <c r="G24" s="76">
        <v>242004.43921896003</v>
      </c>
      <c r="H24" s="14" t="s">
        <v>3</v>
      </c>
      <c r="I24" s="1"/>
    </row>
    <row r="25" spans="1:9" x14ac:dyDescent="0.25">
      <c r="A25" s="1"/>
      <c r="B25" s="138" t="s">
        <v>73</v>
      </c>
      <c r="C25" s="139"/>
      <c r="D25" s="139"/>
      <c r="E25" s="139"/>
      <c r="F25" s="140"/>
      <c r="G25" s="76">
        <f>(G23+G24)*'Fane 15. Nøgletal'!C23</f>
        <v>1456983.5142147357</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3" t="s">
        <v>74</v>
      </c>
      <c r="C28" s="134"/>
      <c r="D28" s="134"/>
      <c r="E28" s="134"/>
      <c r="F28" s="134"/>
      <c r="G28" s="141"/>
      <c r="H28" s="135"/>
      <c r="I28" s="1"/>
    </row>
    <row r="29" spans="1:9" x14ac:dyDescent="0.25">
      <c r="A29" s="1"/>
      <c r="B29" s="138" t="s">
        <v>75</v>
      </c>
      <c r="C29" s="139"/>
      <c r="D29" s="139"/>
      <c r="E29" s="139"/>
      <c r="F29" s="140"/>
      <c r="G29" s="76">
        <f>(G23+G24-G25)*(1+'Fane 15. Nøgletal'!C12)</f>
        <v>50827204.383962482</v>
      </c>
      <c r="H29" s="14" t="s">
        <v>3</v>
      </c>
      <c r="I29" s="1"/>
    </row>
    <row r="30" spans="1:9" x14ac:dyDescent="0.25">
      <c r="A30" s="1"/>
      <c r="B30" s="138" t="s">
        <v>139</v>
      </c>
      <c r="C30" s="139"/>
      <c r="D30" s="139"/>
      <c r="E30" s="139"/>
      <c r="F30" s="140"/>
      <c r="G30" s="76">
        <v>18492357.616797958</v>
      </c>
      <c r="H30" s="14" t="s">
        <v>3</v>
      </c>
      <c r="I30" s="1"/>
    </row>
    <row r="31" spans="1:9" x14ac:dyDescent="0.25">
      <c r="A31" s="1"/>
      <c r="B31" s="138" t="s">
        <v>76</v>
      </c>
      <c r="C31" s="139"/>
      <c r="D31" s="139"/>
      <c r="E31" s="139"/>
      <c r="F31" s="140"/>
      <c r="G31" s="76">
        <f>G29*'Fane 15. Nøgletal'!C23+G30*'Fane 15. Nøgletal'!C24</f>
        <v>1952032.4389664782</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3" t="s">
        <v>165</v>
      </c>
      <c r="C34" s="134"/>
      <c r="D34" s="134"/>
      <c r="E34" s="134"/>
      <c r="F34" s="134"/>
      <c r="G34" s="141"/>
      <c r="H34" s="135"/>
      <c r="I34" s="1"/>
    </row>
    <row r="35" spans="1:9" x14ac:dyDescent="0.25">
      <c r="A35" s="1"/>
      <c r="B35" s="138" t="s">
        <v>78</v>
      </c>
      <c r="C35" s="139"/>
      <c r="D35" s="139"/>
      <c r="E35" s="139"/>
      <c r="F35" s="140"/>
      <c r="G35" s="76">
        <f>(G29+G30-G31)*(1+'Fane 15. Nøgletal'!C14)</f>
        <v>67589842.409347877</v>
      </c>
      <c r="H35" s="14" t="s">
        <v>3</v>
      </c>
      <c r="I35" s="1"/>
    </row>
    <row r="36" spans="1:9" x14ac:dyDescent="0.25">
      <c r="A36" s="1"/>
      <c r="B36" s="138" t="s">
        <v>167</v>
      </c>
      <c r="C36" s="139"/>
      <c r="D36" s="139"/>
      <c r="E36" s="139"/>
      <c r="F36" s="140"/>
      <c r="G36" s="76">
        <v>2810836.0905746408</v>
      </c>
      <c r="H36" s="14" t="s">
        <v>3</v>
      </c>
      <c r="I36" s="1"/>
    </row>
    <row r="37" spans="1:9" x14ac:dyDescent="0.25">
      <c r="A37" s="1"/>
      <c r="B37" s="138" t="s">
        <v>166</v>
      </c>
      <c r="C37" s="139"/>
      <c r="D37" s="139"/>
      <c r="E37" s="139"/>
      <c r="F37" s="140"/>
      <c r="G37" s="76">
        <f>(G35+G36)*'Fane 15. Nøgletal'!C25</f>
        <v>1041930.0417988532</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3" t="s">
        <v>221</v>
      </c>
      <c r="C40" s="134"/>
      <c r="D40" s="134"/>
      <c r="E40" s="134"/>
      <c r="F40" s="134"/>
      <c r="G40" s="141"/>
      <c r="H40" s="135"/>
      <c r="I40" s="1"/>
    </row>
    <row r="41" spans="1:9" x14ac:dyDescent="0.25">
      <c r="A41" s="1"/>
      <c r="B41" s="138" t="s">
        <v>77</v>
      </c>
      <c r="C41" s="139"/>
      <c r="D41" s="139"/>
      <c r="E41" s="139"/>
      <c r="F41" s="140"/>
      <c r="G41" s="76">
        <f>(G35+G36-G37)*(1+'Fane 15. Nøgletal'!C14)</f>
        <v>69587632.328035474</v>
      </c>
      <c r="H41" s="14" t="s">
        <v>3</v>
      </c>
      <c r="I41" s="1"/>
    </row>
    <row r="42" spans="1:9" x14ac:dyDescent="0.25">
      <c r="A42" s="1"/>
      <c r="B42" s="43" t="s">
        <v>229</v>
      </c>
      <c r="C42" s="94"/>
      <c r="D42" s="94"/>
      <c r="E42" s="94"/>
      <c r="F42" s="95"/>
      <c r="G42" s="80">
        <f>('Fane 2.1. Økonomisk ramme 2023'!C11+'Fane 2.1. Økonomisk ramme 2023'!C13+'Fane 2.1. Økonomisk ramme 2023'!C15)*(1+'Fane 15. Nøgletal'!C15)</f>
        <v>9228162.2980622426</v>
      </c>
      <c r="H42" s="14" t="s">
        <v>3</v>
      </c>
      <c r="I42" s="1"/>
    </row>
    <row r="43" spans="1:9" x14ac:dyDescent="0.25">
      <c r="A43" s="1"/>
      <c r="B43" s="138" t="s">
        <v>168</v>
      </c>
      <c r="C43" s="139"/>
      <c r="D43" s="139"/>
      <c r="E43" s="139"/>
      <c r="F43" s="140"/>
      <c r="G43" s="76">
        <f>(G41)*'Fane 15. Nøgletal'!C25+G42*'Fane 15. Nøgletal'!C26</f>
        <v>1029896.9584549251</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3" t="s">
        <v>242</v>
      </c>
      <c r="C52" s="134"/>
      <c r="D52" s="134"/>
      <c r="E52" s="134"/>
      <c r="F52" s="134"/>
      <c r="G52" s="141"/>
      <c r="H52" s="135"/>
      <c r="I52" s="1"/>
    </row>
    <row r="53" spans="1:9" x14ac:dyDescent="0.25">
      <c r="A53" s="1"/>
      <c r="B53" s="138" t="s">
        <v>140</v>
      </c>
      <c r="C53" s="139"/>
      <c r="D53" s="139"/>
      <c r="E53" s="139"/>
      <c r="F53" s="140"/>
      <c r="G53" s="76">
        <f>(G41+G42-G43)*(1+'Fane 15. Nøgletal'!C15)</f>
        <v>80555075.624610871</v>
      </c>
      <c r="H53" s="14" t="s">
        <v>3</v>
      </c>
      <c r="I53" s="1"/>
    </row>
    <row r="54" spans="1:9" x14ac:dyDescent="0.25">
      <c r="A54" s="1"/>
      <c r="B54" s="138" t="s">
        <v>141</v>
      </c>
      <c r="C54" s="139"/>
      <c r="D54" s="139"/>
      <c r="E54" s="139"/>
      <c r="F54" s="140"/>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3" t="s">
        <v>153</v>
      </c>
      <c r="C57" s="134"/>
      <c r="D57" s="134"/>
      <c r="E57" s="134"/>
      <c r="F57" s="134"/>
      <c r="G57" s="141"/>
      <c r="H57" s="135"/>
      <c r="I57" s="1"/>
    </row>
    <row r="58" spans="1:9" x14ac:dyDescent="0.25">
      <c r="A58" s="1"/>
      <c r="B58" s="138" t="s">
        <v>173</v>
      </c>
      <c r="C58" s="139"/>
      <c r="D58" s="139"/>
      <c r="E58" s="139"/>
      <c r="F58" s="140"/>
      <c r="G58" s="76">
        <f>(G53-G54)*(1+'Fane 15. Nøgletal'!C15)</f>
        <v>83422836.316847026</v>
      </c>
      <c r="H58" s="14" t="s">
        <v>3</v>
      </c>
      <c r="I58" s="1"/>
    </row>
    <row r="59" spans="1:9" x14ac:dyDescent="0.25">
      <c r="A59" s="1"/>
      <c r="B59" s="138" t="s">
        <v>174</v>
      </c>
      <c r="C59" s="139"/>
      <c r="D59" s="139"/>
      <c r="E59" s="139"/>
      <c r="F59" s="140"/>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3" t="s">
        <v>196</v>
      </c>
      <c r="C62" s="134"/>
      <c r="D62" s="134"/>
      <c r="E62" s="134"/>
      <c r="F62" s="134"/>
      <c r="G62" s="141"/>
      <c r="H62" s="135"/>
      <c r="I62" s="1"/>
    </row>
    <row r="63" spans="1:9" x14ac:dyDescent="0.25">
      <c r="A63" s="1"/>
      <c r="B63" s="138" t="s">
        <v>197</v>
      </c>
      <c r="C63" s="139"/>
      <c r="D63" s="139"/>
      <c r="E63" s="139"/>
      <c r="F63" s="140"/>
      <c r="G63" s="76">
        <f>(G58-G59)*(1+'Fane 15. Nøgletal'!C15)</f>
        <v>86392689.289726794</v>
      </c>
      <c r="H63" s="14" t="s">
        <v>3</v>
      </c>
      <c r="I63" s="1"/>
    </row>
    <row r="64" spans="1:9" x14ac:dyDescent="0.25">
      <c r="A64" s="1"/>
      <c r="B64" s="138" t="s">
        <v>198</v>
      </c>
      <c r="C64" s="139"/>
      <c r="D64" s="139"/>
      <c r="E64" s="139"/>
      <c r="F64" s="140"/>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G1b0luknRHWSy0hSuDQzEKNrTc4/0NHAkfDZgnyZVVhuakdcvZopEF+eK8NSoh2Z609B1kIzt5AW3KYcBySUMw==" saltValue="TX2NGb8hoMK2g/ziZfsDGg=="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1" t="s">
        <v>88</v>
      </c>
      <c r="C3" s="121"/>
      <c r="D3" s="121"/>
      <c r="E3" s="121"/>
      <c r="F3" s="121"/>
      <c r="G3" s="121"/>
      <c r="H3" s="1"/>
    </row>
    <row r="4" spans="1:8" ht="15" customHeight="1" x14ac:dyDescent="0.25">
      <c r="A4" s="1"/>
      <c r="B4" s="121"/>
      <c r="C4" s="121"/>
      <c r="D4" s="121"/>
      <c r="E4" s="121"/>
      <c r="F4" s="121"/>
      <c r="G4" s="12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3" t="s">
        <v>10</v>
      </c>
      <c r="C8" s="134"/>
      <c r="D8" s="134"/>
      <c r="E8" s="134"/>
      <c r="F8" s="134"/>
      <c r="G8" s="135"/>
      <c r="H8" s="1"/>
    </row>
    <row r="9" spans="1:8" x14ac:dyDescent="0.25">
      <c r="A9" s="1"/>
      <c r="B9" s="138" t="s">
        <v>154</v>
      </c>
      <c r="C9" s="139"/>
      <c r="D9" s="139"/>
      <c r="E9" s="139"/>
      <c r="F9" s="140"/>
      <c r="G9" s="35">
        <v>0.02</v>
      </c>
      <c r="H9" s="1"/>
    </row>
    <row r="10" spans="1:8" x14ac:dyDescent="0.25">
      <c r="A10" s="1"/>
      <c r="B10" s="32"/>
      <c r="C10" s="27"/>
      <c r="D10" s="27"/>
      <c r="E10" s="27"/>
      <c r="F10" s="27"/>
      <c r="G10" s="19"/>
      <c r="H10" s="1"/>
    </row>
    <row r="11" spans="1:8" ht="29.25" customHeight="1" x14ac:dyDescent="0.25">
      <c r="A11" s="1"/>
      <c r="B11" s="150" t="s">
        <v>236</v>
      </c>
      <c r="C11" s="151"/>
      <c r="D11" s="151"/>
      <c r="E11" s="151"/>
      <c r="F11" s="151"/>
      <c r="G11" s="15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DoLKXpCPNqreVYrktfGIM5lk52X/cfeeTgmTii5fQipr61eoOL4Zs3sSGZ7lPJRUKlRhxPdOuE9Ff7RxVsf0xw==" saltValue="LOOyEhO1Hk/a27ZrcYqss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2022-12-22T11:53:09Z</dcterms:modified>
</cp:coreProperties>
</file>