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E:\VAND\Sagsbehandling\Spildevand\GREVE SPILDEVAND AS (S031)\ØR2022\"/>
    </mc:Choice>
  </mc:AlternateContent>
  <bookViews>
    <workbookView xWindow="3105" yWindow="990" windowWidth="12735" windowHeight="4620" tabRatio="872"/>
  </bookViews>
  <sheets>
    <sheet name="1. Forside" sheetId="1" r:id="rId1"/>
    <sheet name="Fane 2.1. Økonomisk ramme 2022" sheetId="2" r:id="rId2"/>
    <sheet name="Fane 2.2. Økonomisk ramme 2023" sheetId="15" r:id="rId3"/>
    <sheet name="Fane 2.3. Økonomisk ramme 2024" sheetId="22" r:id="rId4"/>
    <sheet name="Fane 2.4. Økonomisk ramme 2025" sheetId="23" r:id="rId5"/>
    <sheet name="Fane 3. Omkostninger i ØR2021" sheetId="27" r:id="rId6"/>
    <sheet name="Fane 4.1. Gen. krav - drift" sheetId="30" r:id="rId7"/>
    <sheet name="Fane 4.2. Gen. krav - anlæg" sheetId="36" r:id="rId8"/>
    <sheet name="Fane 5. Individuelt eff. krav" sheetId="31" r:id="rId9"/>
    <sheet name="Fane 6. Ikke-påvirkelige omk." sheetId="19" r:id="rId10"/>
    <sheet name="Fane 7. Kontrol af ØR2020" sheetId="32" r:id="rId11"/>
    <sheet name="Fane 8. Korrektion af ØR2020" sheetId="40" r:id="rId12"/>
    <sheet name="Fane 9. Anlægsprojekter" sheetId="11" r:id="rId13"/>
    <sheet name="Fane 10.1. Varige tillæg" sheetId="37" r:id="rId14"/>
    <sheet name="Fane 10.2. Engangstillæg" sheetId="39" r:id="rId15"/>
    <sheet name="Fane 11. Periodevise driftsomk." sheetId="20" r:id="rId16"/>
    <sheet name="Fane 12. Tilknyttet virksomhed" sheetId="29" r:id="rId17"/>
    <sheet name="Fane 13. Bortfald" sheetId="21" r:id="rId18"/>
    <sheet name="Fane 14. Nøgletal" sheetId="26" r:id="rId19"/>
  </sheets>
  <calcPr calcId="162913"/>
</workbook>
</file>

<file path=xl/calcChain.xml><?xml version="1.0" encoding="utf-8"?>
<calcChain xmlns="http://schemas.openxmlformats.org/spreadsheetml/2006/main">
  <c r="E32" i="32" l="1"/>
  <c r="E16" i="40" l="1"/>
  <c r="E12" i="40"/>
  <c r="E26" i="32" l="1"/>
  <c r="E34" i="32" s="1"/>
  <c r="C26" i="15" l="1"/>
  <c r="C30" i="2"/>
  <c r="C14" i="19"/>
  <c r="E28" i="20" l="1"/>
  <c r="E22" i="20"/>
  <c r="E16" i="20"/>
  <c r="E10" i="20"/>
  <c r="E10" i="11" l="1"/>
  <c r="G8" i="30" l="1"/>
  <c r="G12" i="30" s="1"/>
  <c r="E29" i="20" l="1"/>
  <c r="E30" i="20" s="1"/>
  <c r="E23" i="20"/>
  <c r="E24" i="20" s="1"/>
  <c r="E17" i="20"/>
  <c r="E18" i="20" s="1"/>
  <c r="E11" i="20"/>
  <c r="E12" i="20" s="1"/>
  <c r="E17" i="40" l="1"/>
  <c r="C32" i="2" s="1"/>
  <c r="C20" i="22" l="1"/>
  <c r="C20" i="15"/>
  <c r="C24" i="2"/>
  <c r="C20" i="23"/>
  <c r="E29" i="21" l="1"/>
  <c r="C29" i="21"/>
  <c r="E23" i="21"/>
  <c r="C23" i="21"/>
  <c r="E17" i="21"/>
  <c r="E18" i="21" s="1"/>
  <c r="G44" i="36" s="1"/>
  <c r="C17" i="21"/>
  <c r="C18" i="21" s="1"/>
  <c r="G46" i="30" s="1"/>
  <c r="E30" i="21" l="1"/>
  <c r="G61" i="36" s="1"/>
  <c r="C30" i="21"/>
  <c r="G60" i="30" s="1"/>
  <c r="E24" i="21"/>
  <c r="G55" i="36" s="1"/>
  <c r="C24" i="21"/>
  <c r="G54" i="30" s="1"/>
  <c r="C11" i="15"/>
  <c r="C10" i="15"/>
  <c r="E35" i="39"/>
  <c r="C35" i="39"/>
  <c r="C36" i="39" s="1"/>
  <c r="E27" i="39"/>
  <c r="C27" i="39"/>
  <c r="C28" i="39" s="1"/>
  <c r="E19" i="39"/>
  <c r="C19" i="39"/>
  <c r="E11" i="39"/>
  <c r="C11" i="39"/>
  <c r="C11" i="23" l="1"/>
  <c r="C10" i="23"/>
  <c r="C11" i="22"/>
  <c r="C10" i="22"/>
  <c r="E37" i="39"/>
  <c r="E36" i="39"/>
  <c r="E28" i="39"/>
  <c r="E29" i="39"/>
  <c r="E21" i="39"/>
  <c r="E20" i="39"/>
  <c r="C20" i="39"/>
  <c r="C21" i="39"/>
  <c r="E13" i="39"/>
  <c r="E12" i="39"/>
  <c r="C13" i="39"/>
  <c r="C12" i="39"/>
  <c r="C37" i="39"/>
  <c r="C38" i="39" s="1"/>
  <c r="C29" i="39"/>
  <c r="C30" i="39" s="1"/>
  <c r="E22" i="39" l="1"/>
  <c r="C23" i="15" s="1"/>
  <c r="E38" i="39"/>
  <c r="C23" i="23" s="1"/>
  <c r="E30" i="39"/>
  <c r="C23" i="22" s="1"/>
  <c r="C14" i="39"/>
  <c r="C26" i="2" s="1"/>
  <c r="E14" i="39"/>
  <c r="C27" i="2" s="1"/>
  <c r="C22" i="39"/>
  <c r="C22" i="15" s="1"/>
  <c r="C22" i="22"/>
  <c r="C22" i="23"/>
  <c r="C24" i="23" l="1"/>
  <c r="C24" i="22"/>
  <c r="C24" i="15"/>
  <c r="C28" i="2"/>
  <c r="G7" i="36" l="1"/>
  <c r="G11" i="36" l="1"/>
  <c r="G14" i="36" l="1"/>
  <c r="G18" i="36" l="1"/>
  <c r="G20" i="36" s="1"/>
  <c r="G16" i="30"/>
  <c r="G20" i="30" s="1"/>
  <c r="G24" i="36" l="1"/>
  <c r="G26" i="36" s="1"/>
  <c r="G22" i="30"/>
  <c r="G30" i="36" l="1"/>
  <c r="G26" i="30"/>
  <c r="G32" i="36" l="1"/>
  <c r="F11" i="11"/>
  <c r="C10" i="37" s="1"/>
  <c r="C12" i="37" s="1"/>
  <c r="C13" i="37" s="1"/>
  <c r="G11" i="11"/>
  <c r="G36" i="36" l="1"/>
  <c r="E19" i="27"/>
  <c r="C10" i="2"/>
  <c r="E11" i="21"/>
  <c r="E12" i="21" s="1"/>
  <c r="C11" i="21"/>
  <c r="C12" i="21" s="1"/>
  <c r="E11" i="29"/>
  <c r="E12" i="29" s="1"/>
  <c r="C11" i="29"/>
  <c r="C12" i="29" s="1"/>
  <c r="C15" i="19"/>
  <c r="C18" i="23" l="1"/>
  <c r="C18" i="22"/>
  <c r="C18" i="15"/>
  <c r="C15" i="2"/>
  <c r="C14" i="2"/>
  <c r="C22" i="2"/>
  <c r="C12" i="2"/>
  <c r="G39" i="30" s="1"/>
  <c r="G45" i="30" s="1"/>
  <c r="C13" i="2"/>
  <c r="G28" i="30" l="1"/>
  <c r="G32" i="30" l="1"/>
  <c r="E11" i="11"/>
  <c r="E10" i="37" s="1"/>
  <c r="E12" i="37" s="1"/>
  <c r="E13" i="37" s="1"/>
  <c r="C11" i="2" l="1"/>
  <c r="G37" i="36" s="1"/>
  <c r="G34" i="30"/>
  <c r="E18" i="27" s="1"/>
  <c r="G43" i="36" l="1"/>
  <c r="G38" i="36"/>
  <c r="G42" i="36" s="1"/>
  <c r="G38" i="30"/>
  <c r="E20" i="27"/>
  <c r="E33" i="27" s="1"/>
  <c r="C9" i="2" l="1"/>
  <c r="C16" i="2" s="1"/>
  <c r="G40" i="30"/>
  <c r="G44" i="30" s="1"/>
  <c r="G47" i="30" s="1"/>
  <c r="G53" i="30" s="1"/>
  <c r="G45" i="36"/>
  <c r="G54" i="36" s="1"/>
  <c r="C19" i="2"/>
  <c r="G56" i="36" l="1"/>
  <c r="C15" i="15"/>
  <c r="G60" i="36" l="1"/>
  <c r="G62" i="36" s="1"/>
  <c r="C15" i="23" s="1"/>
  <c r="C15" i="22"/>
  <c r="C17" i="2"/>
  <c r="C18" i="2" l="1"/>
  <c r="C20" i="2" s="1"/>
  <c r="C35" i="2" l="1"/>
  <c r="C9" i="15"/>
  <c r="C14" i="15" l="1"/>
  <c r="C12" i="15"/>
  <c r="C13" i="15" s="1"/>
  <c r="C16" i="15" l="1"/>
  <c r="C29" i="15" s="1"/>
  <c r="C9" i="22" l="1"/>
  <c r="G55" i="30"/>
  <c r="C12" i="22" l="1"/>
  <c r="C13" i="22" s="1"/>
  <c r="C14" i="22"/>
  <c r="G59" i="30"/>
  <c r="G61" i="30" s="1"/>
  <c r="C14" i="23" s="1"/>
  <c r="C16" i="22" l="1"/>
  <c r="C9" i="23" l="1"/>
  <c r="C12" i="23" s="1"/>
  <c r="C13" i="23" s="1"/>
  <c r="C16" i="23" s="1"/>
  <c r="C27" i="23" s="1"/>
  <c r="C27" i="22"/>
</calcChain>
</file>

<file path=xl/sharedStrings.xml><?xml version="1.0" encoding="utf-8"?>
<sst xmlns="http://schemas.openxmlformats.org/spreadsheetml/2006/main" count="706" uniqueCount="286">
  <si>
    <t>Beskrivelse af investeringen</t>
  </si>
  <si>
    <t>Std. levetid (år)</t>
  </si>
  <si>
    <t>Afskrivning</t>
  </si>
  <si>
    <t>kr.</t>
  </si>
  <si>
    <t>Bilag A</t>
  </si>
  <si>
    <t>Indholdsfortegnelse</t>
  </si>
  <si>
    <t>Fane 2.1</t>
  </si>
  <si>
    <t>Fane 5</t>
  </si>
  <si>
    <t>Fane 8</t>
  </si>
  <si>
    <t>Fane 9</t>
  </si>
  <si>
    <t>Individuelt effektiviseringskrav</t>
  </si>
  <si>
    <t>Anskaf-felsespris (kr.)</t>
  </si>
  <si>
    <t>Driftsomkostninger</t>
  </si>
  <si>
    <t>Ikke-påvirkelige omkostninger</t>
  </si>
  <si>
    <t>Oversigt over den økonomiske ramme</t>
  </si>
  <si>
    <t>Prisudvikling</t>
  </si>
  <si>
    <t>Fane 12</t>
  </si>
  <si>
    <t>Fane 2.2</t>
  </si>
  <si>
    <t>Beskrivelse af tillæg</t>
  </si>
  <si>
    <t>Beskrivelse af bortfald eller nedsættelse</t>
  </si>
  <si>
    <t>Prisudvikling i kr.</t>
  </si>
  <si>
    <t>år</t>
  </si>
  <si>
    <t>Omkostninger i alt</t>
  </si>
  <si>
    <t>Vejledende</t>
  </si>
  <si>
    <t>Prisudvikling til brug for nye omkostninger i ØR2019</t>
  </si>
  <si>
    <t>Videreførte omkostninger fra den økonomiske ramme for 2020</t>
  </si>
  <si>
    <t>Generelt effektiviseringskrav - Drift</t>
  </si>
  <si>
    <t>Generelt effektiviseringskrav - Anlæg</t>
  </si>
  <si>
    <t>Bortfald eller nedsættelse af omkostninger - Anlæg</t>
  </si>
  <si>
    <t>Bortfald eller nedsættelse af omkostninger - Drift</t>
  </si>
  <si>
    <t>Tidligere tilknyttet aktivitet - Anlæg</t>
  </si>
  <si>
    <t>Tidligere tilknyttet aktivitet - Drift</t>
  </si>
  <si>
    <t>Økonomisk ramme for 2022</t>
  </si>
  <si>
    <t>Finansielle omkostninger</t>
  </si>
  <si>
    <t>Anlægsomkostninger</t>
  </si>
  <si>
    <t>Beskrivelse af ikke-påvirkelige omkostninger</t>
  </si>
  <si>
    <t>- Heraf Faktisk eller planlagt genanbringelse af væsentlige indtægter</t>
  </si>
  <si>
    <t>Fane 2.3</t>
  </si>
  <si>
    <t>Fane 2.4</t>
  </si>
  <si>
    <t>Anlægsprojekter</t>
  </si>
  <si>
    <t>Bortfald</t>
  </si>
  <si>
    <t>Fane 13</t>
  </si>
  <si>
    <t>Fane 14</t>
  </si>
  <si>
    <t>Nye tillæg - Drift</t>
  </si>
  <si>
    <t>Nye tillæg - Anlæg</t>
  </si>
  <si>
    <t>Driftsomkostninger i grundlaget til de økonomiske rammer for 2017</t>
  </si>
  <si>
    <t>Generelt effektiviseringskrav til driftsomkostningerne i ØR17</t>
  </si>
  <si>
    <t>Base for driftsomkostninger til de økonomiske rammer for 2018</t>
  </si>
  <si>
    <t>Nye driftsomkostninger til de økonomiske rammer for 2018</t>
  </si>
  <si>
    <t>Generelt effektiviseringskrav til driftsomkostningerne i ØR18</t>
  </si>
  <si>
    <t>Base for driftsomkostninger til de økonomiske rammer for 2019</t>
  </si>
  <si>
    <t>Nye driftsomkostninger til de økonomiske rammer for 2019</t>
  </si>
  <si>
    <t>Generelt effektiviseringskrav til driftsomkostningerne i ØR19</t>
  </si>
  <si>
    <t>Base for driftsomkostninger til de økonomiske rammer for 2020</t>
  </si>
  <si>
    <t>Nye driftsomkostninger til de økonomiske rammer for 2020</t>
  </si>
  <si>
    <t>Generelt effektiviseringskrav til driftsomkostningerne i ØR20</t>
  </si>
  <si>
    <t>Generelt effektiviseringskrav til driftsomkostninger i de økonomiske rammer for 2017</t>
  </si>
  <si>
    <t>Generelt effektiviseringskrav til driftsomkostninger i de økonomiske rammer for 2018</t>
  </si>
  <si>
    <t>Generelt effektiviseringskrav til driftsomkostninger i de økonomiske rammer for 2019</t>
  </si>
  <si>
    <t>Generelt effektiviseringskrav til driftsomkostninger i de økonomiske rammer for 2020</t>
  </si>
  <si>
    <t>Generelt effektiviseringskrav til anlægsomkostninger i de økonomiske rammer for 2017</t>
  </si>
  <si>
    <t>Generelt effektiviseringskrav til anlægsomkostningerne i ØR17</t>
  </si>
  <si>
    <t>Generelt effektiviseringskrav til driftsomkostninger i de økonomiske rammer for 2021</t>
  </si>
  <si>
    <t>Base for driftsomkostninger til de økonomiske rammer for 2021</t>
  </si>
  <si>
    <t>Generelt effektiviseringskrav til driftsomkostningerne i ØR21</t>
  </si>
  <si>
    <t>Anlægssomkostninger i grundlaget til de økonomiske rammer for 2017</t>
  </si>
  <si>
    <t>Generelt effektiviseringskrav til anlægsomkostninger i de økonomiske rammer for 2018</t>
  </si>
  <si>
    <t>Base for anlægsomkostninger til de økonomiske rammer for 2018</t>
  </si>
  <si>
    <t>Nye anlægsomkostninger til de økonomiske rammer for 2018</t>
  </si>
  <si>
    <t>Generelt effektiviseringskrav til anlægsomkostningerne i ØR18</t>
  </si>
  <si>
    <t>Generelt effektiviseringskrav til anlægsomkostninger i de økonomiske rammer for 2019</t>
  </si>
  <si>
    <t>Base for anlægsomkostninger til de økonomiske rammer for 2019</t>
  </si>
  <si>
    <t>Nye anlægsomkostninger til de økonomiske rammer for 2019</t>
  </si>
  <si>
    <t>Generelt effektiviseringskrav til anlægsomkostningerne i ØR19</t>
  </si>
  <si>
    <t>Generelt effektiviseringskrav til anlægsomkostninger i de økonomiske rammer for 2020</t>
  </si>
  <si>
    <t>Base for anlægsomkostninger til de økonomiske rammer for 2020</t>
  </si>
  <si>
    <t>Nye anlægsomkostninger til de økonomiske rammer for 2020</t>
  </si>
  <si>
    <t>Generelt effektiviseringskrav til anlægsomkostningerne i ØR20</t>
  </si>
  <si>
    <t>Generelt effektiviseringskrav til anlægsomkostninger i de økonomiske rammer for 2021</t>
  </si>
  <si>
    <t>Base for anlægsomkostninger til de økonomiske rammer for 2021</t>
  </si>
  <si>
    <t>Generelt effektiviseringskrav til anlægsomkostningerne i ØR21</t>
  </si>
  <si>
    <t>Base for anlægsomkostninger til de vejledende økonomiske rammer for 2023</t>
  </si>
  <si>
    <t>Base for anlægsomkostninger til de vejledende økonomiske rammer for 2022</t>
  </si>
  <si>
    <t>Base for driftsomkostninger til de vejledende økonomiske rammer for 2023</t>
  </si>
  <si>
    <t>Base for driftsomkostninger til de vejledende økonomiske rammer for 2022</t>
  </si>
  <si>
    <t>Generelt effektiviseringskrav til anlægsomkostninger i de vejledende økonomiske rammer for 2023</t>
  </si>
  <si>
    <t>Individuelt effektiviseringskrav til de økonomiske rammer for 2018-2019</t>
  </si>
  <si>
    <t>Individuelt effektiviseringskrav til de økonomiske rammer for 2020-2021</t>
  </si>
  <si>
    <t>Nye varige tillæg</t>
  </si>
  <si>
    <t>Engangstillæg - Drift</t>
  </si>
  <si>
    <t>Engangstillæg - Anlæg</t>
  </si>
  <si>
    <t>Fane 7</t>
  </si>
  <si>
    <t>Varige tillæg</t>
  </si>
  <si>
    <t>Engangstillæg</t>
  </si>
  <si>
    <t>Periodevise driftsomkostninger</t>
  </si>
  <si>
    <t>Engangstillæg i alt</t>
  </si>
  <si>
    <t>Fane 5: Individuelt effektiviseringskrav</t>
  </si>
  <si>
    <t>Bortfald af driftsomkostninger i de økonomiske rammer for 2023</t>
  </si>
  <si>
    <t>Bortfald eller nedsættelse i alt i 2020-prisniveau</t>
  </si>
  <si>
    <t>Bortfald eller nedsættelse i alt i 2021-prisniveau</t>
  </si>
  <si>
    <t>Bortfald eller nedsættelse i alt i 2022-prisniveau</t>
  </si>
  <si>
    <t>Bortfald af anlægsomkostninger i de økonomiske rammer for 2023</t>
  </si>
  <si>
    <t>Økonomisk ramme for 2023</t>
  </si>
  <si>
    <t>Periodevise driftsomkostninger til de økonomiske rammer for 2022</t>
  </si>
  <si>
    <t>Periodevise driftsomkostninger til de økonomiske rammer for 2023</t>
  </si>
  <si>
    <t>Periodevise driftsomkostninger i alt i 2022-prisniveau</t>
  </si>
  <si>
    <t>Periodevise driftsomkostninger i alt i 2023-prisniveau</t>
  </si>
  <si>
    <t>Bortfald eller nedsættelse fra og med de økonomiske rammer for 2022</t>
  </si>
  <si>
    <t>Bortfald eller nedsættelse fra og med de økonomiske rammer for 2023</t>
  </si>
  <si>
    <t>Korrektion af tidligere godkendte omkostninger til medfinansiering af klimatilpasningsprojekter</t>
  </si>
  <si>
    <t>Generelt effektiviseringskrav på drift</t>
  </si>
  <si>
    <t>Generelt effektiviseringskrav på anlæg</t>
  </si>
  <si>
    <t>Engangstillæg til de økonomiske rammer for 2022</t>
  </si>
  <si>
    <t>Engangstillæg til de økonomiske rammer for 2023</t>
  </si>
  <si>
    <t>Generelt effektiviseringskrav</t>
  </si>
  <si>
    <t>Tillæg til tilbagebetaling af vejbidrag</t>
  </si>
  <si>
    <t>Tillæg til den økonomiske ramme for 2022</t>
  </si>
  <si>
    <t>Tillæg til den økonomiske ramme for 2023</t>
  </si>
  <si>
    <t>Samlede tillæg til periodevise driftsomkostninger jf. indmeldte oprensningsplan</t>
  </si>
  <si>
    <t>Difference (Korrektion)</t>
  </si>
  <si>
    <t>Antal år i næste reguleringsperiode</t>
  </si>
  <si>
    <t>Generelt effektiviseringskrav til anlægsomkostningerne</t>
  </si>
  <si>
    <t>Generelt effektiviseringskrav til driftsomkostningerne</t>
  </si>
  <si>
    <t>Nøgletal</t>
  </si>
  <si>
    <t>Fane 4.1</t>
  </si>
  <si>
    <t>Fane 4.2</t>
  </si>
  <si>
    <t>Fane 6</t>
  </si>
  <si>
    <t>Fane 10.1</t>
  </si>
  <si>
    <t>Fane 10.2</t>
  </si>
  <si>
    <t>Fane 11</t>
  </si>
  <si>
    <t>Fane 4.1: Generelt effektiviseringskrav til driftsomkostningerne</t>
  </si>
  <si>
    <t>Fane 4.2: Generelt effektiviseringskrav til anlægsomkostningerne</t>
  </si>
  <si>
    <t>Fane 6: Ikke-påvirkelige omkostninger</t>
  </si>
  <si>
    <t>Fane 13: Bortfald eller nedsættelse af omkostninger til mål, medfinansiering eller udvidelse</t>
  </si>
  <si>
    <t>Fane 10.2: Engangstillæg</t>
  </si>
  <si>
    <t>Fane 10.1: Varige tillæg</t>
  </si>
  <si>
    <t>Fane 11: Periodevise driftsomkostninger givet under prisloftsbekendtgørelsen</t>
  </si>
  <si>
    <t>Prisudvikling til brug for ØR2017</t>
  </si>
  <si>
    <t>Prisudvikling til brug for ØR2018-2019</t>
  </si>
  <si>
    <t>Generelt effektiviseringskrav til brug for anlægsomkostninger i ØR2017</t>
  </si>
  <si>
    <t>Generelt effektiviseringskrav til brug for anlægsomkostninger i ØR2020-2021</t>
  </si>
  <si>
    <t>Generelt effektiviseringskrav til brug for driftsomkostninger</t>
  </si>
  <si>
    <t>Tillæg til medfinansieringsprojekter godkendt under prisloftsbekendtgørelsen</t>
  </si>
  <si>
    <t>Periodevise driftsomkostninger i den økonomiske ramme for 2018</t>
  </si>
  <si>
    <t>Fane 3</t>
  </si>
  <si>
    <t>Periodevise driftsomkostninger i den økonomiske ramme for 2017</t>
  </si>
  <si>
    <t>Korrektion af driftsomkostninger i grundlaget</t>
  </si>
  <si>
    <t>Korrektion af anlægsomkostninger i grundlaget</t>
  </si>
  <si>
    <t>Korrektion af den økonomiske ramme for 2019</t>
  </si>
  <si>
    <t>Tidligere tilknyttet virksomhed - Drift</t>
  </si>
  <si>
    <t>Tidligere tilknyttet virksomhed - Anlæg</t>
  </si>
  <si>
    <t>Videreførte omkostninger fra den økonomiske ramme for 2022</t>
  </si>
  <si>
    <t>Videreførte omkostninger fra den økonomiske ramme for 2023</t>
  </si>
  <si>
    <t>Økonomisk ramme for 2024</t>
  </si>
  <si>
    <t>Tillæg til den økonomiske ramme for 2024</t>
  </si>
  <si>
    <t>Periodevise driftsomkostninger til de økonomiske rammer for 2024</t>
  </si>
  <si>
    <t>Periodevise driftsomkostninger i alt i 2024-prisniveau</t>
  </si>
  <si>
    <t>Fane 12: Tilknyttet virksomhed under hovedvirksomheden</t>
  </si>
  <si>
    <t>Tilknyttet virksomhed under hovedvirksomheden</t>
  </si>
  <si>
    <t>Beskrivelse af tilknyttet virksomhed</t>
  </si>
  <si>
    <t>Vejledende økonomisk ramme for 2024</t>
  </si>
  <si>
    <t>Tilknyttet virksomhed</t>
  </si>
  <si>
    <t>Prisudvikling til brug for nye omkostninger i ØR2021</t>
  </si>
  <si>
    <t>Nye tillæg i alt i 2020-prisniveau</t>
  </si>
  <si>
    <t>Engangstillæg i alt i 2022-prisniveau</t>
  </si>
  <si>
    <t>Engangstillæg i alt i 2023-prisniveau</t>
  </si>
  <si>
    <t>Engangstillæg til de økonomiske rammer for 2024</t>
  </si>
  <si>
    <t>Engangstillæg i alt i 2024-prisniveau</t>
  </si>
  <si>
    <t>Tilknyttet virksomhed under hovedvirksomheden i alt (2020-prisniveau)</t>
  </si>
  <si>
    <t>Bortfald eller nedsættelse fra og med de økonomiske rammer for 2024</t>
  </si>
  <si>
    <t>Bortfald eller nedsættelse i alt i 2023-prisniveau</t>
  </si>
  <si>
    <t>Nye driftsomkostninger til de økonomiske rammer for 2021</t>
  </si>
  <si>
    <t>Generelt effektiviseringskrav til driftsomkostninger i de vejledende økonomiske rammer for 2024</t>
  </si>
  <si>
    <t>Base for driftsomkostninger til de vejledende økonomiske rammer for 2024</t>
  </si>
  <si>
    <t>Bortfald af driftsomkostninger i de økonomiske rammer for 2024</t>
  </si>
  <si>
    <t>Vejledende generelt effektiviseringskrav til driftsomkostningerne i ØR24</t>
  </si>
  <si>
    <t>Nye anlægsomkostninger til de økonomiske rammer for 2021</t>
  </si>
  <si>
    <t>Fane 9: Anlægsprojekter igangsat senest den 1. marts 2016</t>
  </si>
  <si>
    <t>Anlægsprojekter igangsat senest den 1. marts 2016</t>
  </si>
  <si>
    <t>Anlægsprojekter igangsat senest den 1. marts 2016 i alt</t>
  </si>
  <si>
    <t>Anlægsprojekter igangsat senest 1. marts 2016</t>
  </si>
  <si>
    <t>Generelt effektiviseringskrav til anlægsomkostninger i de vejledende økonomiske rammer for 2024</t>
  </si>
  <si>
    <t>Base for anlægsomkostninger til de vejledende økonomiske rammer for 2024</t>
  </si>
  <si>
    <t>Bortfald af anlægsomkostninger i de økonomiske rammer for 2024</t>
  </si>
  <si>
    <t>Vejledende generelt effektiviseringskrav til anlægsomkostningerne i ØR24</t>
  </si>
  <si>
    <t>Fradrag for kontrol af den økonomiske ramme</t>
  </si>
  <si>
    <t>Til indregning i de økonomiske rammer for 2022-2023</t>
  </si>
  <si>
    <t>Kontrol med overholdelse af økonomiske rammer</t>
  </si>
  <si>
    <t>Kontrol med de økonomiske rammer til indregning</t>
  </si>
  <si>
    <t>Fane 14: Nøgletal</t>
  </si>
  <si>
    <t>Generelt effektiviseringskrav til brug for anlægsomkostninger i ØR2018</t>
  </si>
  <si>
    <t>Generelt effektiviseringskrav til brug for anlægsomkostninger i ØR2019</t>
  </si>
  <si>
    <t>Generelt effektiviseringskrav til brug for anlægsomkostninger i ØR2021</t>
  </si>
  <si>
    <t>Generelt effektiviseringskrav til brug for anlægsomkostninger i ØR2022</t>
  </si>
  <si>
    <t>Fane 2.1: Samlet økonomisk ramme for 2022</t>
  </si>
  <si>
    <t>Korrektion af den økonomiske ramme for 2020</t>
  </si>
  <si>
    <t>Fane 2.2: Samlet økonomisk ramme for 2023</t>
  </si>
  <si>
    <t>Fane 2.3: Samlet økonomisk ramme for 2024</t>
  </si>
  <si>
    <t>Fane 2.4: Samlet økonomisk ramme for 2025</t>
  </si>
  <si>
    <t>Videreførte omkostninger fra den økonomiske ramme for 2024</t>
  </si>
  <si>
    <t>Økonomisk ramme for 2025</t>
  </si>
  <si>
    <t>Generelt effektiviseringskrav til driftsomkostninger i de vejledende økonomiske rammer for 2025</t>
  </si>
  <si>
    <t>Base for driftsomkostninger til de vejledende økonomiske rammer for 2025</t>
  </si>
  <si>
    <t>Bortfald af driftsomkostninger i de økonomiske rammer for 2025</t>
  </si>
  <si>
    <t>Vejledende generelt effektiviseringskrav til driftsomkostningerne i ØR25</t>
  </si>
  <si>
    <t>Generelt effektiviseringskrav til anlægsomkostninger i de vejledende økonomiske rammer for 2025</t>
  </si>
  <si>
    <t>Individuelt effektiviseringskrav til de økonomiske rammer for 2022-2023</t>
  </si>
  <si>
    <t>Beregningen af jeres individuelle effektiviseringskrav fremgår af metodepapir samt bilag til benchmarkingmodellen 2022</t>
  </si>
  <si>
    <t>Faktiske ikke-påvirkelige omkostninger i 2020</t>
  </si>
  <si>
    <t>Ikke-påvirkelige omkostninger i 2020-prisniveau</t>
  </si>
  <si>
    <t>Ikke-påvirkelige omkostninger i 2022-prisniveau</t>
  </si>
  <si>
    <t>Tillæg til den økonomiske ramme for 2025</t>
  </si>
  <si>
    <t>Fane 7: Kontrol med overholdelse af den økonomiske ramme for 2020</t>
  </si>
  <si>
    <t>Kontrol med overholdelse af den økonomiske ramme for 2020</t>
  </si>
  <si>
    <t>Indtægtsramme i den økonomiske ramme for 2020</t>
  </si>
  <si>
    <t>Faktiske indtægter i 2020</t>
  </si>
  <si>
    <t>Fane 8: Korrektioner af den økonomiske ramme for 2020</t>
  </si>
  <si>
    <t>Korrektion af periodevise driftsomkostninger i de økonomiske rammer for 2020</t>
  </si>
  <si>
    <t>Faktisk periodevis driftsomkostning i 2020</t>
  </si>
  <si>
    <t>Tidligere godkendt tillæg indregnet i den økonomiske ramme for 2020</t>
  </si>
  <si>
    <t>Faktisk omkostning til medfinansiering af klimatilpasningsprojekter i 2020</t>
  </si>
  <si>
    <t>Korrektioner af den økonomiske ramme for 2020 i alt</t>
  </si>
  <si>
    <t>Nye tillæg i alt i 2021-prisniveau</t>
  </si>
  <si>
    <t>Engangstillæg i alt i 2020-prisniveau</t>
  </si>
  <si>
    <t>Engangstillæg til de økonomiske rammer for 2025</t>
  </si>
  <si>
    <t>Engangstillæg i alt i 2025-prisniveau</t>
  </si>
  <si>
    <t>Periodevise driftsomkostninger i alt i 2020-prisniveau</t>
  </si>
  <si>
    <t>Periodevise driftsomkostninger til de økonomiske rammer for 2025</t>
  </si>
  <si>
    <t>Periodevise driftsomkostninger i alt i 2025-prisniveau</t>
  </si>
  <si>
    <t>Tilknyttet virksomhed under hovedvirksomheden i alt (2021-prisniveau)</t>
  </si>
  <si>
    <t>Bortfald eller nedsættelse i alt i 2024-prisniveau</t>
  </si>
  <si>
    <t>Bortfald eller nedsættelse fra og med de økonomiske rammer for 2025</t>
  </si>
  <si>
    <t>Generelt effektiviseringskrav til driftsomkostninger i de økonomiske rammer for 2022</t>
  </si>
  <si>
    <t>Generelt effektiviseringskrav til driftsomkostninger i de økonomiske rammer for 2023</t>
  </si>
  <si>
    <t>Generelt effektiviseringskrav til driftsomkostningerne i ØR22</t>
  </si>
  <si>
    <t>Generelt effektiviseringskrav til driftsomkostningerne i ØR23</t>
  </si>
  <si>
    <t>Nye driftsomkostninger til de økonomiske rammer for 2022</t>
  </si>
  <si>
    <t>- Heraf nye driftsomkostninger til de økonomiske rammer for 2022</t>
  </si>
  <si>
    <t>Generelt effektiviseringskrav til anlægsomkostninger i de økonomiske rammer for 2022</t>
  </si>
  <si>
    <t>Generelt effektiviseringskrav til anlægsomkostningerne i ØR22</t>
  </si>
  <si>
    <t>Nye anlægsomkostninger til de økonomiske rammer for 2022</t>
  </si>
  <si>
    <t>Generelt effektiviseringskrav til anlægsomkostningerne i ØR23</t>
  </si>
  <si>
    <t>- Heraf nye anlægsomkostninger til de økonomiske rammer for 2022</t>
  </si>
  <si>
    <t>Individuelt effektiviseringskrav til de økonomiske rammer for 2017</t>
  </si>
  <si>
    <t>Faktiske omkostninger i 2020</t>
  </si>
  <si>
    <t>Samlet økonomisk ramme for 2022</t>
  </si>
  <si>
    <t>Samlet økonomisk ramme for 2023</t>
  </si>
  <si>
    <t>Vejledende økonomisk ramme for 2025</t>
  </si>
  <si>
    <t>Omkostninger i ØR2021</t>
  </si>
  <si>
    <t>Kontrol af den økonomiske ramme for 2020</t>
  </si>
  <si>
    <t>Fane 3: Videreførte omkostninger fra den økonomiske ramme for 2021</t>
  </si>
  <si>
    <t>Økonomisk ramme for 2021</t>
  </si>
  <si>
    <t xml:space="preserve">Note: Denne opgørelse er taget fra jeres statusmeddelelse for den økonomiske ramme for 2021. I kan derfor ikke komme med høringssvar til denne opgørelse. </t>
  </si>
  <si>
    <t>Prisudvikling til brug for ØR2022-2023</t>
  </si>
  <si>
    <t>Prisudvikling til brug for nye omkostninger i ØR2020</t>
  </si>
  <si>
    <t>Base for anlægsomkostninger til de vejledende økonomiske rammer for 2025</t>
  </si>
  <si>
    <t>Bortfald af anlægsomkostninger i de økonomiske rammer for 2025</t>
  </si>
  <si>
    <t>Vejledende generelt effektiviseringskrav til anlægsomkostningerne i ØR25</t>
  </si>
  <si>
    <t xml:space="preserve">Indtægter fra tilbagebetalt skat eller sambeskatningsbidrag som følge af skattesagen </t>
  </si>
  <si>
    <t xml:space="preserve">Nedsættelse af økonomisk ramme som følge af skattesagen </t>
  </si>
  <si>
    <t>Videreførte omkostninger fra den økonomiske ramme for 2021</t>
  </si>
  <si>
    <t>Ingen tilknyttet virksomhed</t>
  </si>
  <si>
    <t>Spildevandsafgift</t>
  </si>
  <si>
    <t>Afgift til Forsyningssekretariatet</t>
  </si>
  <si>
    <t>Køb af produkter og ydelser fra andre vandselskaber reguleret af vandsektorloven</t>
  </si>
  <si>
    <t>Ejendomsskat</t>
  </si>
  <si>
    <t>Ingen bortfald eller nedsættelse</t>
  </si>
  <si>
    <t>Tidligere opgjorte over/underdækninger</t>
  </si>
  <si>
    <t>Over/underdækning i 2017</t>
  </si>
  <si>
    <t>Over/underdækning i 2018</t>
  </si>
  <si>
    <t>Korrigeret over/underdækning i 2018</t>
  </si>
  <si>
    <t>Over/underdækning i 2019</t>
  </si>
  <si>
    <t>Note: Opgørelsen af overholdelse af de økonomiske rammer og korrektioner heraf er taget fra jeres tidligere fremsendte økonomiske rammer og statusmeddelelser. I kan derfor ikke komme med høringssvar til denne opgørelse. Positive værdier er udtryk for at rammerne er overholdt(underdækning) og negative værdier er udtryk for at rammerne ikke er overholdt(overdækning).</t>
  </si>
  <si>
    <t>Allerede indregnet fradrag i jeres økonomiske rammer</t>
  </si>
  <si>
    <t>Indregnet fradrag i økonomisk ramme for 2022</t>
  </si>
  <si>
    <t>Indregnet fradrag i økonomisk ramme for 2023</t>
  </si>
  <si>
    <t xml:space="preserve">Note: Opgørelsen af over/underækningen er taget fra jeres tidligere fremsendte økonomiske rammer og statusmeddelelser. I kan derfor ikke komme med høringssvar til denne opgørelse. </t>
  </si>
  <si>
    <t>Resultat af kontrol med overholdelse af den økonomiske ramme for 2020</t>
  </si>
  <si>
    <t>Oversigt over den økonomiske ramme for 2021</t>
  </si>
  <si>
    <t>Udvidelse af forsyningsområde</t>
  </si>
  <si>
    <t>Note: Rækken 'Yderligere opkrævningsret for de økonomiske rammer for 2017 og/eller 2018' kan tage værdierne 0,1, 2 eller 3. Værdien er 1 hvis der er yderligere opkrævningsret fra 2017, 2 hvis der er yderligere opkrævningsret fra 2018 eller 3 hvis der er yderligere opkrævningsret for begge år. Hvis der ikke er nogen opkrævningsret overhovedet er værdien 0. Opkrævningsretten følger § 17, stk. 8 i den dagældende ØR-bekendtgørelse nr. 938 af 28. juni 2018.</t>
  </si>
  <si>
    <t>Yderligere opkrævningsret for de økonomiske rammer 2017 og/eller 2018</t>
  </si>
  <si>
    <t>Ingen anlægsprojekter</t>
  </si>
  <si>
    <t>Til økonomiske rammer for 2022 og 2023</t>
  </si>
  <si>
    <t>Kontrol med overholdelse af den økonomiske ramme</t>
  </si>
  <si>
    <t>Ingen engangstillæg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</si>
</sst>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.00_ ;_ * \-#,##0.00_ ;_ * &quot;-&quot;??_ ;_ @_ "/>
    <numFmt numFmtId="165" formatCode="_ * #,##0_ ;_ * \-#,##0_ ;_ * &quot;-&quot;??_ ;_ @_ "/>
    <numFmt numFmtId="166" formatCode="#,##0_ ;\-#,##0\ "/>
  </numFmts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650816"/>
      <name val="Calibri"/>
      <family val="2"/>
      <scheme val="minor"/>
    </font>
    <font>
      <b/>
      <sz val="26"/>
      <color rgb="FF650816"/>
      <name val="Calibri"/>
      <family val="2"/>
      <scheme val="minor"/>
    </font>
    <font>
      <sz val="12"/>
      <color rgb="FF650816"/>
      <name val="Calibri"/>
      <family val="2"/>
      <scheme val="minor"/>
    </font>
    <font>
      <i/>
      <sz val="11"/>
      <color rgb="FF650816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B6DDF3"/>
        <bgColor indexed="64"/>
      </patternFill>
    </fill>
    <fill>
      <patternFill patternType="solid">
        <fgColor rgb="FF650816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9E0B1D"/>
        <bgColor indexed="64"/>
      </patternFill>
    </fill>
    <fill>
      <patternFill patternType="solid">
        <fgColor rgb="FF35B099"/>
        <bgColor indexed="64"/>
      </patternFill>
    </fill>
    <fill>
      <patternFill patternType="solid">
        <fgColor rgb="FF4C4C4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121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3" fillId="0" borderId="0"/>
    <xf numFmtId="9" fontId="10" fillId="0" borderId="0" applyFont="0" applyFill="0" applyBorder="0" applyAlignment="0" applyProtection="0"/>
  </cellStyleXfs>
  <cellXfs count="127">
    <xf numFmtId="0" fontId="0" fillId="0" borderId="0" xfId="0"/>
    <xf numFmtId="0" fontId="0" fillId="2" borderId="0" xfId="0" applyFill="1" applyProtection="1"/>
    <xf numFmtId="0" fontId="0" fillId="0" borderId="0" xfId="0" applyProtection="1"/>
    <xf numFmtId="0" fontId="4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/>
    <xf numFmtId="0" fontId="3" fillId="2" borderId="0" xfId="0" applyFont="1" applyFill="1" applyProtection="1"/>
    <xf numFmtId="0" fontId="3" fillId="2" borderId="0" xfId="0" applyFont="1" applyFill="1" applyBorder="1" applyProtection="1"/>
    <xf numFmtId="3" fontId="8" fillId="8" borderId="1" xfId="0" applyNumberFormat="1" applyFont="1" applyFill="1" applyBorder="1" applyAlignment="1" applyProtection="1">
      <alignment wrapText="1"/>
    </xf>
    <xf numFmtId="0" fontId="8" fillId="8" borderId="1" xfId="0" applyFont="1" applyFill="1" applyBorder="1" applyAlignment="1" applyProtection="1">
      <alignment wrapText="1"/>
    </xf>
    <xf numFmtId="3" fontId="8" fillId="8" borderId="1" xfId="0" applyNumberFormat="1" applyFont="1" applyFill="1" applyBorder="1" applyProtection="1"/>
    <xf numFmtId="3" fontId="8" fillId="4" borderId="1" xfId="0" applyNumberFormat="1" applyFont="1" applyFill="1" applyBorder="1" applyProtection="1"/>
    <xf numFmtId="0" fontId="8" fillId="4" borderId="1" xfId="0" applyFont="1" applyFill="1" applyBorder="1" applyAlignment="1" applyProtection="1">
      <alignment wrapText="1"/>
    </xf>
    <xf numFmtId="3" fontId="7" fillId="3" borderId="1" xfId="0" applyNumberFormat="1" applyFont="1" applyFill="1" applyBorder="1" applyProtection="1"/>
    <xf numFmtId="0" fontId="7" fillId="3" borderId="1" xfId="0" applyFont="1" applyFill="1" applyBorder="1" applyProtection="1"/>
    <xf numFmtId="0" fontId="8" fillId="8" borderId="1" xfId="0" applyFont="1" applyFill="1" applyBorder="1" applyProtection="1"/>
    <xf numFmtId="0" fontId="9" fillId="2" borderId="0" xfId="0" applyFont="1" applyFill="1" applyProtection="1"/>
    <xf numFmtId="0" fontId="8" fillId="2" borderId="0" xfId="0" applyFont="1" applyFill="1" applyProtection="1"/>
    <xf numFmtId="0" fontId="8" fillId="4" borderId="1" xfId="0" applyFont="1" applyFill="1" applyBorder="1" applyProtection="1"/>
    <xf numFmtId="0" fontId="0" fillId="2" borderId="0" xfId="0" applyFill="1" applyAlignment="1" applyProtection="1">
      <alignment wrapText="1"/>
    </xf>
    <xf numFmtId="0" fontId="8" fillId="4" borderId="1" xfId="0" applyFont="1" applyFill="1" applyBorder="1" applyAlignment="1" applyProtection="1">
      <alignment horizontal="center" wrapText="1"/>
    </xf>
    <xf numFmtId="0" fontId="7" fillId="3" borderId="3" xfId="0" applyFont="1" applyFill="1" applyBorder="1" applyAlignment="1" applyProtection="1"/>
    <xf numFmtId="0" fontId="7" fillId="3" borderId="2" xfId="0" applyFont="1" applyFill="1" applyBorder="1" applyAlignment="1" applyProtection="1">
      <alignment wrapText="1"/>
    </xf>
    <xf numFmtId="3" fontId="8" fillId="8" borderId="1" xfId="0" applyNumberFormat="1" applyFont="1" applyFill="1" applyBorder="1" applyAlignment="1" applyProtection="1"/>
    <xf numFmtId="10" fontId="8" fillId="8" borderId="1" xfId="4" applyNumberFormat="1" applyFont="1" applyFill="1" applyBorder="1" applyProtection="1"/>
    <xf numFmtId="165" fontId="8" fillId="8" borderId="1" xfId="1" applyNumberFormat="1" applyFont="1" applyFill="1" applyBorder="1" applyProtection="1"/>
    <xf numFmtId="49" fontId="8" fillId="8" borderId="2" xfId="0" applyNumberFormat="1" applyFont="1" applyFill="1" applyBorder="1" applyAlignment="1" applyProtection="1"/>
    <xf numFmtId="10" fontId="8" fillId="8" borderId="1" xfId="4" applyNumberFormat="1" applyFont="1" applyFill="1" applyBorder="1" applyAlignment="1" applyProtection="1"/>
    <xf numFmtId="0" fontId="15" fillId="0" borderId="2" xfId="0" applyFont="1" applyFill="1" applyBorder="1" applyAlignment="1" applyProtection="1"/>
    <xf numFmtId="3" fontId="15" fillId="0" borderId="1" xfId="0" applyNumberFormat="1" applyFont="1" applyFill="1" applyBorder="1" applyProtection="1"/>
    <xf numFmtId="0" fontId="15" fillId="0" borderId="1" xfId="0" applyFont="1" applyFill="1" applyBorder="1" applyProtection="1"/>
    <xf numFmtId="0" fontId="8" fillId="8" borderId="2" xfId="0" quotePrefix="1" applyFont="1" applyFill="1" applyBorder="1" applyAlignment="1" applyProtection="1">
      <alignment wrapText="1"/>
    </xf>
    <xf numFmtId="0" fontId="8" fillId="4" borderId="2" xfId="0" applyFont="1" applyFill="1" applyBorder="1" applyAlignment="1" applyProtection="1"/>
    <xf numFmtId="0" fontId="7" fillId="3" borderId="6" xfId="0" applyFont="1" applyFill="1" applyBorder="1" applyAlignment="1" applyProtection="1"/>
    <xf numFmtId="0" fontId="8" fillId="8" borderId="2" xfId="0" applyFont="1" applyFill="1" applyBorder="1" applyAlignment="1" applyProtection="1">
      <alignment wrapText="1"/>
    </xf>
    <xf numFmtId="3" fontId="7" fillId="3" borderId="2" xfId="0" applyNumberFormat="1" applyFont="1" applyFill="1" applyBorder="1" applyAlignment="1" applyProtection="1"/>
    <xf numFmtId="0" fontId="7" fillId="3" borderId="1" xfId="0" applyFont="1" applyFill="1" applyBorder="1" applyAlignment="1" applyProtection="1"/>
    <xf numFmtId="0" fontId="8" fillId="4" borderId="2" xfId="0" applyFont="1" applyFill="1" applyBorder="1" applyAlignment="1" applyProtection="1">
      <alignment wrapText="1"/>
    </xf>
    <xf numFmtId="0" fontId="8" fillId="4" borderId="3" xfId="0" applyFont="1" applyFill="1" applyBorder="1" applyAlignment="1" applyProtection="1">
      <alignment wrapText="1"/>
    </xf>
    <xf numFmtId="0" fontId="7" fillId="3" borderId="2" xfId="0" applyFont="1" applyFill="1" applyBorder="1" applyAlignment="1" applyProtection="1"/>
    <xf numFmtId="0" fontId="8" fillId="8" borderId="1" xfId="0" applyFont="1" applyFill="1" applyBorder="1" applyAlignment="1" applyProtection="1"/>
    <xf numFmtId="10" fontId="8" fillId="0" borderId="3" xfId="4" applyNumberFormat="1" applyFont="1" applyFill="1" applyBorder="1" applyAlignment="1" applyProtection="1"/>
    <xf numFmtId="10" fontId="8" fillId="0" borderId="1" xfId="4" applyNumberFormat="1" applyFont="1" applyFill="1" applyBorder="1" applyProtection="1"/>
    <xf numFmtId="0" fontId="2" fillId="2" borderId="0" xfId="0" applyFont="1" applyFill="1" applyAlignment="1" applyProtection="1">
      <alignment vertical="center" wrapText="1"/>
    </xf>
    <xf numFmtId="0" fontId="8" fillId="4" borderId="6" xfId="0" applyFont="1" applyFill="1" applyBorder="1" applyAlignment="1" applyProtection="1"/>
    <xf numFmtId="0" fontId="8" fillId="4" borderId="3" xfId="0" applyFont="1" applyFill="1" applyBorder="1" applyAlignment="1" applyProtection="1"/>
    <xf numFmtId="3" fontId="8" fillId="4" borderId="2" xfId="0" applyNumberFormat="1" applyFont="1" applyFill="1" applyBorder="1" applyProtection="1"/>
    <xf numFmtId="0" fontId="8" fillId="8" borderId="3" xfId="0" applyFont="1" applyFill="1" applyBorder="1" applyProtection="1"/>
    <xf numFmtId="49" fontId="8" fillId="8" borderId="2" xfId="0" applyNumberFormat="1" applyFont="1" applyFill="1" applyBorder="1" applyAlignment="1" applyProtection="1">
      <alignment horizontal="left"/>
    </xf>
    <xf numFmtId="3" fontId="8" fillId="4" borderId="2" xfId="0" applyNumberFormat="1" applyFont="1" applyFill="1" applyBorder="1" applyAlignment="1" applyProtection="1">
      <alignment horizontal="right"/>
    </xf>
    <xf numFmtId="0" fontId="2" fillId="2" borderId="7" xfId="0" applyFont="1" applyFill="1" applyBorder="1" applyAlignment="1" applyProtection="1">
      <alignment horizontal="center" wrapText="1"/>
    </xf>
    <xf numFmtId="1" fontId="8" fillId="0" borderId="1" xfId="0" applyNumberFormat="1" applyFont="1" applyFill="1" applyBorder="1" applyProtection="1"/>
    <xf numFmtId="10" fontId="8" fillId="0" borderId="1" xfId="4" applyNumberFormat="1" applyFont="1" applyFill="1" applyBorder="1" applyAlignment="1" applyProtection="1"/>
    <xf numFmtId="0" fontId="14" fillId="2" borderId="0" xfId="0" applyFont="1" applyFill="1" applyAlignment="1" applyProtection="1">
      <alignment horizontal="center"/>
    </xf>
    <xf numFmtId="0" fontId="8" fillId="8" borderId="2" xfId="0" quotePrefix="1" applyFont="1" applyFill="1" applyBorder="1" applyAlignment="1" applyProtection="1">
      <alignment horizontal="left" wrapText="1"/>
    </xf>
    <xf numFmtId="0" fontId="8" fillId="4" borderId="2" xfId="0" applyFont="1" applyFill="1" applyBorder="1" applyAlignment="1" applyProtection="1">
      <alignment horizontal="left" wrapText="1"/>
    </xf>
    <xf numFmtId="0" fontId="8" fillId="4" borderId="3" xfId="0" applyFont="1" applyFill="1" applyBorder="1" applyAlignment="1" applyProtection="1">
      <alignment horizontal="left" wrapText="1"/>
    </xf>
    <xf numFmtId="0" fontId="7" fillId="3" borderId="2" xfId="0" applyFont="1" applyFill="1" applyBorder="1" applyAlignment="1" applyProtection="1">
      <alignment horizontal="left"/>
    </xf>
    <xf numFmtId="0" fontId="7" fillId="3" borderId="6" xfId="0" applyFont="1" applyFill="1" applyBorder="1" applyAlignment="1" applyProtection="1">
      <alignment horizontal="left"/>
    </xf>
    <xf numFmtId="0" fontId="7" fillId="3" borderId="3" xfId="0" applyFont="1" applyFill="1" applyBorder="1" applyAlignment="1" applyProtection="1">
      <alignment horizontal="left"/>
    </xf>
    <xf numFmtId="0" fontId="8" fillId="4" borderId="2" xfId="0" applyFont="1" applyFill="1" applyBorder="1" applyAlignment="1" applyProtection="1">
      <alignment horizontal="left"/>
    </xf>
    <xf numFmtId="0" fontId="8" fillId="4" borderId="6" xfId="0" applyFont="1" applyFill="1" applyBorder="1" applyAlignment="1" applyProtection="1">
      <alignment horizontal="left"/>
    </xf>
    <xf numFmtId="0" fontId="2" fillId="2" borderId="0" xfId="0" applyFont="1" applyFill="1" applyAlignment="1" applyProtection="1">
      <alignment horizontal="center" vertical="center" wrapText="1"/>
    </xf>
    <xf numFmtId="0" fontId="8" fillId="8" borderId="2" xfId="0" applyFont="1" applyFill="1" applyBorder="1" applyAlignment="1" applyProtection="1">
      <alignment horizontal="left"/>
    </xf>
    <xf numFmtId="0" fontId="8" fillId="8" borderId="6" xfId="0" applyFont="1" applyFill="1" applyBorder="1" applyAlignment="1" applyProtection="1">
      <alignment horizontal="left"/>
    </xf>
    <xf numFmtId="0" fontId="8" fillId="8" borderId="3" xfId="0" applyFont="1" applyFill="1" applyBorder="1" applyAlignment="1" applyProtection="1">
      <alignment horizontal="left"/>
    </xf>
    <xf numFmtId="0" fontId="8" fillId="8" borderId="2" xfId="0" applyFont="1" applyFill="1" applyBorder="1" applyAlignment="1" applyProtection="1"/>
    <xf numFmtId="0" fontId="8" fillId="4" borderId="1" xfId="0" applyFont="1" applyFill="1" applyBorder="1" applyAlignment="1" applyProtection="1">
      <alignment horizontal="left"/>
    </xf>
    <xf numFmtId="0" fontId="8" fillId="4" borderId="3" xfId="0" applyFont="1" applyFill="1" applyBorder="1" applyAlignment="1" applyProtection="1">
      <alignment horizontal="left"/>
    </xf>
    <xf numFmtId="49" fontId="8" fillId="8" borderId="2" xfId="0" applyNumberFormat="1" applyFont="1" applyFill="1" applyBorder="1" applyAlignment="1" applyProtection="1">
      <alignment horizontal="left" wrapText="1"/>
    </xf>
    <xf numFmtId="166" fontId="8" fillId="8" borderId="1" xfId="1" applyNumberFormat="1" applyFont="1" applyFill="1" applyBorder="1" applyProtection="1"/>
    <xf numFmtId="0" fontId="1" fillId="7" borderId="4" xfId="2" applyFont="1" applyFill="1" applyBorder="1" applyAlignment="1" applyProtection="1">
      <alignment horizontal="center"/>
    </xf>
    <xf numFmtId="0" fontId="1" fillId="7" borderId="0" xfId="2" applyFont="1" applyFill="1" applyBorder="1" applyAlignment="1" applyProtection="1">
      <alignment horizontal="center"/>
    </xf>
    <xf numFmtId="0" fontId="1" fillId="7" borderId="5" xfId="2" applyFont="1" applyFill="1" applyBorder="1" applyAlignment="1" applyProtection="1">
      <alignment horizontal="center"/>
    </xf>
    <xf numFmtId="0" fontId="1" fillId="9" borderId="4" xfId="2" applyFont="1" applyFill="1" applyBorder="1" applyAlignment="1" applyProtection="1">
      <alignment horizontal="center"/>
    </xf>
    <xf numFmtId="0" fontId="1" fillId="9" borderId="0" xfId="2" applyFont="1" applyFill="1" applyBorder="1" applyAlignment="1" applyProtection="1">
      <alignment horizontal="center"/>
    </xf>
    <xf numFmtId="0" fontId="1" fillId="9" borderId="5" xfId="2" applyFont="1" applyFill="1" applyBorder="1" applyAlignment="1" applyProtection="1">
      <alignment horizontal="center"/>
    </xf>
    <xf numFmtId="0" fontId="1" fillId="5" borderId="4" xfId="2" applyFont="1" applyFill="1" applyBorder="1" applyAlignment="1" applyProtection="1">
      <alignment horizontal="center"/>
    </xf>
    <xf numFmtId="0" fontId="1" fillId="5" borderId="0" xfId="2" applyFont="1" applyFill="1" applyBorder="1" applyAlignment="1" applyProtection="1">
      <alignment horizontal="center"/>
    </xf>
    <xf numFmtId="0" fontId="1" fillId="5" borderId="5" xfId="2" applyFont="1" applyFill="1" applyBorder="1" applyAlignment="1" applyProtection="1">
      <alignment horizontal="center"/>
    </xf>
    <xf numFmtId="0" fontId="1" fillId="3" borderId="4" xfId="2" applyFont="1" applyFill="1" applyBorder="1" applyAlignment="1" applyProtection="1">
      <alignment horizontal="center"/>
    </xf>
    <xf numFmtId="0" fontId="1" fillId="3" borderId="0" xfId="2" applyFont="1" applyFill="1" applyBorder="1" applyAlignment="1" applyProtection="1">
      <alignment horizontal="center"/>
    </xf>
    <xf numFmtId="0" fontId="1" fillId="3" borderId="5" xfId="2" applyFont="1" applyFill="1" applyBorder="1" applyAlignment="1" applyProtection="1">
      <alignment horizontal="center"/>
    </xf>
    <xf numFmtId="0" fontId="4" fillId="2" borderId="0" xfId="0" applyFont="1" applyFill="1" applyAlignment="1" applyProtection="1">
      <alignment horizontal="center" vertical="center"/>
    </xf>
    <xf numFmtId="0" fontId="12" fillId="6" borderId="4" xfId="2" applyFont="1" applyFill="1" applyBorder="1" applyAlignment="1" applyProtection="1">
      <alignment horizontal="center"/>
    </xf>
    <xf numFmtId="0" fontId="12" fillId="6" borderId="0" xfId="2" applyFont="1" applyFill="1" applyBorder="1" applyAlignment="1" applyProtection="1">
      <alignment horizontal="center"/>
    </xf>
    <xf numFmtId="0" fontId="12" fillId="6" borderId="5" xfId="2" applyFont="1" applyFill="1" applyBorder="1" applyAlignment="1" applyProtection="1">
      <alignment horizontal="center"/>
    </xf>
    <xf numFmtId="0" fontId="6" fillId="2" borderId="0" xfId="0" applyFont="1" applyFill="1" applyAlignment="1" applyProtection="1">
      <alignment horizontal="center"/>
    </xf>
    <xf numFmtId="0" fontId="5" fillId="2" borderId="0" xfId="0" applyFont="1" applyFill="1" applyAlignment="1" applyProtection="1">
      <alignment horizontal="center"/>
    </xf>
    <xf numFmtId="0" fontId="2" fillId="2" borderId="0" xfId="0" applyFont="1" applyFill="1" applyAlignment="1" applyProtection="1">
      <alignment horizontal="center" vertical="center"/>
    </xf>
    <xf numFmtId="0" fontId="14" fillId="2" borderId="0" xfId="0" applyFont="1" applyFill="1" applyAlignment="1" applyProtection="1">
      <alignment horizontal="center"/>
    </xf>
    <xf numFmtId="0" fontId="8" fillId="8" borderId="2" xfId="0" applyFont="1" applyFill="1" applyBorder="1" applyAlignment="1" applyProtection="1">
      <alignment horizontal="left" wrapText="1"/>
    </xf>
    <xf numFmtId="0" fontId="8" fillId="8" borderId="6" xfId="0" applyFont="1" applyFill="1" applyBorder="1" applyAlignment="1" applyProtection="1">
      <alignment horizontal="left" wrapText="1"/>
    </xf>
    <xf numFmtId="0" fontId="8" fillId="8" borderId="3" xfId="0" applyFont="1" applyFill="1" applyBorder="1" applyAlignment="1" applyProtection="1">
      <alignment horizontal="left" wrapText="1"/>
    </xf>
    <xf numFmtId="0" fontId="2" fillId="2" borderId="0" xfId="0" applyFont="1" applyFill="1" applyAlignment="1" applyProtection="1">
      <alignment horizontal="center" vertical="center" wrapText="1"/>
    </xf>
    <xf numFmtId="0" fontId="8" fillId="8" borderId="2" xfId="0" quotePrefix="1" applyFont="1" applyFill="1" applyBorder="1" applyAlignment="1" applyProtection="1">
      <alignment horizontal="left" wrapText="1"/>
    </xf>
    <xf numFmtId="0" fontId="8" fillId="8" borderId="6" xfId="0" quotePrefix="1" applyFont="1" applyFill="1" applyBorder="1" applyAlignment="1" applyProtection="1">
      <alignment horizontal="left" wrapText="1"/>
    </xf>
    <xf numFmtId="0" fontId="8" fillId="8" borderId="3" xfId="0" quotePrefix="1" applyFont="1" applyFill="1" applyBorder="1" applyAlignment="1" applyProtection="1">
      <alignment horizontal="left" wrapText="1"/>
    </xf>
    <xf numFmtId="0" fontId="8" fillId="4" borderId="2" xfId="0" applyFont="1" applyFill="1" applyBorder="1" applyAlignment="1" applyProtection="1">
      <alignment horizontal="left" wrapText="1"/>
    </xf>
    <xf numFmtId="0" fontId="8" fillId="4" borderId="6" xfId="0" applyFont="1" applyFill="1" applyBorder="1" applyAlignment="1" applyProtection="1">
      <alignment horizontal="left" wrapText="1"/>
    </xf>
    <xf numFmtId="0" fontId="8" fillId="4" borderId="3" xfId="0" applyFont="1" applyFill="1" applyBorder="1" applyAlignment="1" applyProtection="1">
      <alignment horizontal="left" wrapText="1"/>
    </xf>
    <xf numFmtId="0" fontId="7" fillId="3" borderId="2" xfId="0" applyFont="1" applyFill="1" applyBorder="1" applyAlignment="1" applyProtection="1">
      <alignment horizontal="left"/>
    </xf>
    <xf numFmtId="0" fontId="7" fillId="3" borderId="6" xfId="0" applyFont="1" applyFill="1" applyBorder="1" applyAlignment="1" applyProtection="1">
      <alignment horizontal="left"/>
    </xf>
    <xf numFmtId="0" fontId="7" fillId="3" borderId="3" xfId="0" applyFont="1" applyFill="1" applyBorder="1" applyAlignment="1" applyProtection="1">
      <alignment horizontal="left"/>
    </xf>
    <xf numFmtId="0" fontId="8" fillId="4" borderId="2" xfId="0" applyFont="1" applyFill="1" applyBorder="1" applyAlignment="1" applyProtection="1">
      <alignment horizontal="left"/>
    </xf>
    <xf numFmtId="0" fontId="8" fillId="4" borderId="6" xfId="0" applyFont="1" applyFill="1" applyBorder="1" applyAlignment="1" applyProtection="1">
      <alignment horizontal="left"/>
    </xf>
    <xf numFmtId="0" fontId="8" fillId="8" borderId="2" xfId="0" applyFont="1" applyFill="1" applyBorder="1" applyAlignment="1" applyProtection="1">
      <alignment horizontal="left"/>
    </xf>
    <xf numFmtId="0" fontId="8" fillId="8" borderId="6" xfId="0" applyFont="1" applyFill="1" applyBorder="1" applyAlignment="1" applyProtection="1">
      <alignment horizontal="left"/>
    </xf>
    <xf numFmtId="0" fontId="8" fillId="8" borderId="3" xfId="0" applyFont="1" applyFill="1" applyBorder="1" applyAlignment="1" applyProtection="1">
      <alignment horizontal="left"/>
    </xf>
    <xf numFmtId="0" fontId="8" fillId="8" borderId="2" xfId="0" quotePrefix="1" applyFont="1" applyFill="1" applyBorder="1" applyAlignment="1" applyProtection="1"/>
    <xf numFmtId="0" fontId="8" fillId="8" borderId="6" xfId="0" quotePrefix="1" applyFont="1" applyFill="1" applyBorder="1" applyAlignment="1" applyProtection="1"/>
    <xf numFmtId="0" fontId="8" fillId="8" borderId="3" xfId="0" quotePrefix="1" applyFont="1" applyFill="1" applyBorder="1" applyAlignment="1" applyProtection="1"/>
    <xf numFmtId="0" fontId="8" fillId="8" borderId="2" xfId="0" applyFont="1" applyFill="1" applyBorder="1" applyAlignment="1" applyProtection="1"/>
    <xf numFmtId="0" fontId="8" fillId="8" borderId="6" xfId="0" applyFont="1" applyFill="1" applyBorder="1" applyAlignment="1" applyProtection="1"/>
    <xf numFmtId="0" fontId="8" fillId="8" borderId="3" xfId="0" applyFont="1" applyFill="1" applyBorder="1" applyAlignment="1" applyProtection="1"/>
    <xf numFmtId="0" fontId="2" fillId="2" borderId="0" xfId="0" applyFont="1" applyFill="1" applyBorder="1" applyAlignment="1" applyProtection="1">
      <alignment horizontal="center" wrapText="1"/>
    </xf>
    <xf numFmtId="0" fontId="0" fillId="2" borderId="0" xfId="0" applyFill="1" applyAlignment="1" applyProtection="1">
      <alignment horizontal="center" wrapText="1"/>
    </xf>
    <xf numFmtId="0" fontId="8" fillId="8" borderId="2" xfId="0" quotePrefix="1" applyFont="1" applyFill="1" applyBorder="1" applyAlignment="1" applyProtection="1">
      <alignment horizontal="left"/>
    </xf>
    <xf numFmtId="0" fontId="8" fillId="8" borderId="6" xfId="0" quotePrefix="1" applyFont="1" applyFill="1" applyBorder="1" applyAlignment="1" applyProtection="1">
      <alignment horizontal="left"/>
    </xf>
    <xf numFmtId="0" fontId="8" fillId="8" borderId="3" xfId="0" quotePrefix="1" applyFont="1" applyFill="1" applyBorder="1" applyAlignment="1" applyProtection="1">
      <alignment horizontal="left"/>
    </xf>
    <xf numFmtId="0" fontId="8" fillId="4" borderId="1" xfId="0" applyFont="1" applyFill="1" applyBorder="1" applyAlignment="1" applyProtection="1">
      <alignment horizontal="left"/>
    </xf>
    <xf numFmtId="0" fontId="7" fillId="3" borderId="2" xfId="0" applyFont="1" applyFill="1" applyBorder="1" applyAlignment="1" applyProtection="1">
      <alignment horizontal="center"/>
    </xf>
    <xf numFmtId="0" fontId="7" fillId="3" borderId="6" xfId="0" applyFont="1" applyFill="1" applyBorder="1" applyAlignment="1" applyProtection="1">
      <alignment horizontal="center"/>
    </xf>
    <xf numFmtId="0" fontId="7" fillId="3" borderId="3" xfId="0" applyFont="1" applyFill="1" applyBorder="1" applyAlignment="1" applyProtection="1">
      <alignment horizontal="center"/>
    </xf>
    <xf numFmtId="0" fontId="8" fillId="4" borderId="3" xfId="0" applyFont="1" applyFill="1" applyBorder="1" applyAlignment="1" applyProtection="1">
      <alignment horizontal="left"/>
    </xf>
    <xf numFmtId="49" fontId="8" fillId="8" borderId="2" xfId="0" applyNumberFormat="1" applyFont="1" applyFill="1" applyBorder="1" applyAlignment="1" applyProtection="1">
      <alignment horizontal="left" wrapText="1"/>
    </xf>
    <xf numFmtId="49" fontId="8" fillId="8" borderId="6" xfId="0" applyNumberFormat="1" applyFont="1" applyFill="1" applyBorder="1" applyAlignment="1" applyProtection="1">
      <alignment horizontal="left" wrapText="1"/>
    </xf>
    <xf numFmtId="49" fontId="8" fillId="8" borderId="3" xfId="0" applyNumberFormat="1" applyFont="1" applyFill="1" applyBorder="1" applyAlignment="1" applyProtection="1">
      <alignment horizontal="left" wrapText="1"/>
    </xf>
  </cellXfs>
  <cellStyles count="5">
    <cellStyle name="Komma" xfId="1" builtinId="3"/>
    <cellStyle name="Link" xfId="2" builtinId="8"/>
    <cellStyle name="Normal" xfId="0" builtinId="0"/>
    <cellStyle name="Normal 12" xfId="3"/>
    <cellStyle name="Procent" xfId="4" builtinId="5"/>
  </cellStyles>
  <dxfs count="0"/>
  <tableStyles count="0" defaultTableStyle="TableStyleMedium2" defaultPivotStyle="PivotStyleLight16"/>
  <colors>
    <mruColors>
      <color rgb="FFF2DCDB"/>
      <color rgb="FF212121"/>
      <color rgb="FF650816"/>
      <color rgb="FF4C4C4C"/>
      <color rgb="FFBFBFBF"/>
      <color rgb="FFD9D9D9"/>
      <color rgb="FF35B099"/>
      <color rgb="FF9E0B1D"/>
      <color rgb="FFB6DD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I50"/>
  <sheetViews>
    <sheetView showGridLines="0" tabSelected="1" view="pageLayout" zoomScaleNormal="100" workbookViewId="0"/>
  </sheetViews>
  <sheetFormatPr defaultColWidth="9.140625" defaultRowHeight="15" x14ac:dyDescent="0.25"/>
  <cols>
    <col min="1" max="1" width="9.140625" style="2"/>
    <col min="2" max="2" width="5.85546875" style="2" customWidth="1"/>
    <col min="3" max="4" width="9.140625" style="2"/>
    <col min="5" max="5" width="11.7109375" style="2" customWidth="1"/>
    <col min="6" max="6" width="11.5703125" style="2" customWidth="1"/>
    <col min="7" max="8" width="9.140625" style="2"/>
    <col min="9" max="9" width="12.140625" style="2" customWidth="1"/>
    <col min="10" max="16384" width="9.140625" style="2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ht="15" customHeight="1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ht="15" customHeight="1" x14ac:dyDescent="0.25">
      <c r="A6" s="1"/>
      <c r="B6" s="1"/>
      <c r="C6" s="3"/>
      <c r="D6" s="82" t="s">
        <v>4</v>
      </c>
      <c r="E6" s="82"/>
      <c r="F6" s="82"/>
      <c r="G6" s="82"/>
      <c r="H6" s="3"/>
      <c r="I6" s="1"/>
    </row>
    <row r="7" spans="1:9" ht="15" customHeight="1" x14ac:dyDescent="0.25">
      <c r="A7" s="1"/>
      <c r="B7" s="1"/>
      <c r="C7" s="3"/>
      <c r="D7" s="82"/>
      <c r="E7" s="82"/>
      <c r="F7" s="82"/>
      <c r="G7" s="82"/>
      <c r="H7" s="3"/>
      <c r="I7" s="1"/>
    </row>
    <row r="8" spans="1:9" ht="15.75" x14ac:dyDescent="0.25">
      <c r="A8" s="1"/>
      <c r="B8" s="1"/>
      <c r="C8" s="4"/>
      <c r="D8" s="87" t="s">
        <v>283</v>
      </c>
      <c r="E8" s="87"/>
      <c r="F8" s="87"/>
      <c r="G8" s="87"/>
      <c r="H8" s="4"/>
      <c r="I8" s="1"/>
    </row>
    <row r="9" spans="1:9" x14ac:dyDescent="0.25">
      <c r="A9" s="1"/>
      <c r="B9" s="1"/>
      <c r="C9" s="5"/>
      <c r="D9" s="5"/>
      <c r="E9" s="5"/>
      <c r="F9" s="5"/>
      <c r="G9" s="5"/>
      <c r="H9" s="5"/>
      <c r="I9" s="1"/>
    </row>
    <row r="10" spans="1:9" x14ac:dyDescent="0.25">
      <c r="A10" s="1"/>
      <c r="B10" s="5"/>
      <c r="C10" s="5"/>
      <c r="D10" s="5"/>
      <c r="E10" s="5"/>
      <c r="F10" s="5"/>
      <c r="G10" s="5"/>
      <c r="H10" s="5"/>
      <c r="I10" s="1"/>
    </row>
    <row r="11" spans="1:9" x14ac:dyDescent="0.25">
      <c r="A11" s="1"/>
      <c r="B11" s="5"/>
      <c r="C11" s="5"/>
      <c r="D11" s="86" t="s">
        <v>5</v>
      </c>
      <c r="E11" s="86"/>
      <c r="F11" s="86"/>
      <c r="G11" s="86"/>
      <c r="H11" s="5"/>
      <c r="I11" s="1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25">
      <c r="A13" s="1"/>
      <c r="B13" s="1"/>
      <c r="C13" s="6" t="s">
        <v>6</v>
      </c>
      <c r="D13" s="79" t="s">
        <v>245</v>
      </c>
      <c r="E13" s="80"/>
      <c r="F13" s="80"/>
      <c r="G13" s="81"/>
      <c r="H13" s="1"/>
      <c r="I13" s="1"/>
    </row>
    <row r="14" spans="1:9" x14ac:dyDescent="0.25">
      <c r="A14" s="1"/>
      <c r="B14" s="1"/>
      <c r="C14" s="6" t="s">
        <v>17</v>
      </c>
      <c r="D14" s="79" t="s">
        <v>246</v>
      </c>
      <c r="E14" s="80"/>
      <c r="F14" s="80"/>
      <c r="G14" s="81"/>
      <c r="H14" s="1"/>
      <c r="I14" s="1"/>
    </row>
    <row r="15" spans="1:9" x14ac:dyDescent="0.25">
      <c r="A15" s="1"/>
      <c r="B15" s="1"/>
      <c r="C15" s="6" t="s">
        <v>37</v>
      </c>
      <c r="D15" s="79" t="s">
        <v>160</v>
      </c>
      <c r="E15" s="80"/>
      <c r="F15" s="80"/>
      <c r="G15" s="81"/>
      <c r="H15" s="1"/>
      <c r="I15" s="1"/>
    </row>
    <row r="16" spans="1:9" x14ac:dyDescent="0.25">
      <c r="A16" s="1"/>
      <c r="B16" s="1"/>
      <c r="C16" s="6" t="s">
        <v>38</v>
      </c>
      <c r="D16" s="79" t="s">
        <v>247</v>
      </c>
      <c r="E16" s="80"/>
      <c r="F16" s="80"/>
      <c r="G16" s="81"/>
      <c r="H16" s="1"/>
      <c r="I16" s="1"/>
    </row>
    <row r="17" spans="1:9" x14ac:dyDescent="0.25">
      <c r="A17" s="1"/>
      <c r="B17" s="1"/>
      <c r="C17" s="6" t="s">
        <v>144</v>
      </c>
      <c r="D17" s="79" t="s">
        <v>248</v>
      </c>
      <c r="E17" s="80"/>
      <c r="F17" s="80"/>
      <c r="G17" s="81"/>
      <c r="H17" s="1"/>
      <c r="I17" s="1"/>
    </row>
    <row r="18" spans="1:9" x14ac:dyDescent="0.25">
      <c r="A18" s="1"/>
      <c r="B18" s="1"/>
      <c r="C18" s="6" t="s">
        <v>124</v>
      </c>
      <c r="D18" s="76" t="s">
        <v>110</v>
      </c>
      <c r="E18" s="77"/>
      <c r="F18" s="77"/>
      <c r="G18" s="78"/>
      <c r="H18" s="1"/>
      <c r="I18" s="1"/>
    </row>
    <row r="19" spans="1:9" x14ac:dyDescent="0.25">
      <c r="A19" s="1"/>
      <c r="B19" s="1"/>
      <c r="C19" s="6" t="s">
        <v>125</v>
      </c>
      <c r="D19" s="76" t="s">
        <v>111</v>
      </c>
      <c r="E19" s="77"/>
      <c r="F19" s="77"/>
      <c r="G19" s="78"/>
      <c r="H19" s="1"/>
      <c r="I19" s="1"/>
    </row>
    <row r="20" spans="1:9" x14ac:dyDescent="0.25">
      <c r="A20" s="1"/>
      <c r="B20" s="1"/>
      <c r="C20" s="6" t="s">
        <v>7</v>
      </c>
      <c r="D20" s="76" t="s">
        <v>10</v>
      </c>
      <c r="E20" s="77"/>
      <c r="F20" s="77"/>
      <c r="G20" s="78"/>
      <c r="H20" s="1"/>
      <c r="I20" s="1"/>
    </row>
    <row r="21" spans="1:9" x14ac:dyDescent="0.25">
      <c r="A21" s="1"/>
      <c r="B21" s="1"/>
      <c r="C21" s="6" t="s">
        <v>126</v>
      </c>
      <c r="D21" s="83" t="s">
        <v>13</v>
      </c>
      <c r="E21" s="84"/>
      <c r="F21" s="84"/>
      <c r="G21" s="85"/>
      <c r="H21" s="1"/>
      <c r="I21" s="1"/>
    </row>
    <row r="22" spans="1:9" x14ac:dyDescent="0.25">
      <c r="A22" s="1"/>
      <c r="B22" s="1"/>
      <c r="C22" s="6" t="s">
        <v>91</v>
      </c>
      <c r="D22" s="70" t="s">
        <v>249</v>
      </c>
      <c r="E22" s="71"/>
      <c r="F22" s="71"/>
      <c r="G22" s="72"/>
      <c r="H22" s="1"/>
      <c r="I22" s="1"/>
    </row>
    <row r="23" spans="1:9" x14ac:dyDescent="0.25">
      <c r="A23" s="1"/>
      <c r="B23" s="1"/>
      <c r="C23" s="6" t="s">
        <v>8</v>
      </c>
      <c r="D23" s="70" t="s">
        <v>195</v>
      </c>
      <c r="E23" s="71"/>
      <c r="F23" s="71"/>
      <c r="G23" s="72"/>
      <c r="H23" s="1"/>
      <c r="I23" s="1"/>
    </row>
    <row r="24" spans="1:9" x14ac:dyDescent="0.25">
      <c r="A24" s="1"/>
      <c r="B24" s="1"/>
      <c r="C24" s="6" t="s">
        <v>9</v>
      </c>
      <c r="D24" s="70" t="s">
        <v>39</v>
      </c>
      <c r="E24" s="71"/>
      <c r="F24" s="71"/>
      <c r="G24" s="72"/>
      <c r="H24" s="1"/>
      <c r="I24" s="1"/>
    </row>
    <row r="25" spans="1:9" x14ac:dyDescent="0.25">
      <c r="A25" s="1"/>
      <c r="B25" s="1"/>
      <c r="C25" s="6" t="s">
        <v>127</v>
      </c>
      <c r="D25" s="70" t="s">
        <v>92</v>
      </c>
      <c r="E25" s="71"/>
      <c r="F25" s="71"/>
      <c r="G25" s="72"/>
      <c r="H25" s="1"/>
      <c r="I25" s="1"/>
    </row>
    <row r="26" spans="1:9" x14ac:dyDescent="0.25">
      <c r="A26" s="1"/>
      <c r="B26" s="1"/>
      <c r="C26" s="6" t="s">
        <v>128</v>
      </c>
      <c r="D26" s="70" t="s">
        <v>93</v>
      </c>
      <c r="E26" s="71"/>
      <c r="F26" s="71"/>
      <c r="G26" s="72"/>
      <c r="H26" s="1"/>
      <c r="I26" s="1"/>
    </row>
    <row r="27" spans="1:9" x14ac:dyDescent="0.25">
      <c r="A27" s="1"/>
      <c r="B27" s="1"/>
      <c r="C27" s="6" t="s">
        <v>129</v>
      </c>
      <c r="D27" s="70" t="s">
        <v>94</v>
      </c>
      <c r="E27" s="71"/>
      <c r="F27" s="71"/>
      <c r="G27" s="72"/>
      <c r="H27" s="1"/>
      <c r="I27" s="1"/>
    </row>
    <row r="28" spans="1:9" x14ac:dyDescent="0.25">
      <c r="A28" s="1"/>
      <c r="B28" s="1"/>
      <c r="C28" s="6" t="s">
        <v>16</v>
      </c>
      <c r="D28" s="70" t="s">
        <v>161</v>
      </c>
      <c r="E28" s="71"/>
      <c r="F28" s="71"/>
      <c r="G28" s="72"/>
      <c r="H28" s="1"/>
      <c r="I28" s="1"/>
    </row>
    <row r="29" spans="1:9" x14ac:dyDescent="0.25">
      <c r="A29" s="1"/>
      <c r="B29" s="1"/>
      <c r="C29" s="6" t="s">
        <v>41</v>
      </c>
      <c r="D29" s="70" t="s">
        <v>40</v>
      </c>
      <c r="E29" s="71"/>
      <c r="F29" s="71"/>
      <c r="G29" s="72"/>
      <c r="H29" s="1"/>
      <c r="I29" s="1"/>
    </row>
    <row r="30" spans="1:9" x14ac:dyDescent="0.25">
      <c r="A30" s="1"/>
      <c r="B30" s="1"/>
      <c r="C30" s="6" t="s">
        <v>42</v>
      </c>
      <c r="D30" s="73" t="s">
        <v>123</v>
      </c>
      <c r="E30" s="74"/>
      <c r="F30" s="74"/>
      <c r="G30" s="75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25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25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25">
      <c r="A50" s="1"/>
      <c r="B50" s="1"/>
      <c r="C50" s="1"/>
      <c r="D50" s="1"/>
      <c r="E50" s="1"/>
      <c r="F50" s="1"/>
      <c r="G50" s="1"/>
      <c r="H50" s="1"/>
      <c r="I50" s="1"/>
    </row>
  </sheetData>
  <sheetProtection algorithmName="SHA-512" hashValue="n65cUKTNnKaP07zMdtn9lazHtAmpny+wa9Y3ZVi63qvSLb98xEFPxMFkYuZB93+vjPYdpEUIB6yCPKzD7R6pNw==" saltValue="Vx8YnztvOwiDEuCLfjKyfw==" spinCount="100000" sheet="1" objects="1" scenarios="1"/>
  <mergeCells count="21">
    <mergeCell ref="D14:G14"/>
    <mergeCell ref="D6:G7"/>
    <mergeCell ref="D21:G21"/>
    <mergeCell ref="D22:G22"/>
    <mergeCell ref="D11:G11"/>
    <mergeCell ref="D8:G8"/>
    <mergeCell ref="D15:G15"/>
    <mergeCell ref="D16:G16"/>
    <mergeCell ref="D19:G19"/>
    <mergeCell ref="D13:G13"/>
    <mergeCell ref="D17:G17"/>
    <mergeCell ref="D20:G20"/>
    <mergeCell ref="D29:G29"/>
    <mergeCell ref="D30:G30"/>
    <mergeCell ref="D18:G18"/>
    <mergeCell ref="D24:G24"/>
    <mergeCell ref="D25:G25"/>
    <mergeCell ref="D28:G28"/>
    <mergeCell ref="D26:G26"/>
    <mergeCell ref="D27:G27"/>
    <mergeCell ref="D23:G23"/>
  </mergeCells>
  <hyperlinks>
    <hyperlink ref="D14:G14" location="'Fane 2.2. Økonomisk ramme 2023'!A1" display="Samlet økonomisk ramme for 2022"/>
    <hyperlink ref="D25:G25" location="'Fane 10.1. Varige tillæg'!A1" display="Varige tillæg"/>
    <hyperlink ref="D28:G28" location="'Fane 12. Tilknyttet virksomhed'!A1" display="Tilknyttet virksomhed"/>
    <hyperlink ref="D29:G29" location="'Fane 13. Bortfald'!A1" display="Bortfald"/>
    <hyperlink ref="D13:G13" location="'Fane 2.1. Økonomisk ramme 2022'!A1" display="Samlet økonomisk ramme for 2021"/>
    <hyperlink ref="D16:G16" location="'Fane 2.4. Økonomisk ramme 2025'!A1" display="Vejledende økonomisk ramme for 2024"/>
    <hyperlink ref="D15:G15" location="'Fane 2.3. Økonomisk ramme 2024'!A1" display="Vejledende økonomisk ramme for 2023"/>
    <hyperlink ref="D22:G22" location="'Fane 7. Kontrol af ØR2020'!A1" display="Kontrol af den økonomiske ramme for 2019"/>
    <hyperlink ref="D24:G24" location="'Fane 9. Anlægsprojekter'!A1" display="Anlægsprojekter"/>
    <hyperlink ref="D30:G30" location="'Fane 14. Nøgletal'!A1" display="Nøgletal"/>
    <hyperlink ref="D17:G17" location="'Fane 3. Omkostninger i ØR2021'!A1" display="Omkostninger i ØR2020"/>
    <hyperlink ref="D26:G26" location="'Fane 10.2. Engangstillæg'!A1" display="Engangstillæg"/>
    <hyperlink ref="D27:G27" location="'Fane 11. Periodevise driftsomk.'!A1" display="Periodevise driftsomkostninger"/>
    <hyperlink ref="D23:G23" location="'Fane 6. Korrektion af ØR2020" display="Korrektion af den økonomiske ramme for 2019"/>
    <hyperlink ref="D21:G21" location="'Fane 6. Ikke-påvirkelige omk.'!A1" display="Ikke-påvirkelige omkostninger"/>
    <hyperlink ref="D18:G18" location="'Fane 4.1. Gen. krav - drift'!A1" display="Generelt effektiviseringskrav på drift"/>
    <hyperlink ref="D20:G20" location="'Fane 5. Individuelt eff. krav'!A1" display="Individuelt effektiviseringskrav"/>
    <hyperlink ref="D19:G19" location="'Fane 4.2. Gen. krav - anlæg'!A1" display="Generelt effektiviseringskrav på anlæg"/>
  </hyperlinks>
  <pageMargins left="0.71875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E49"/>
  <sheetViews>
    <sheetView showGridLines="0" view="pageLayout" zoomScaleNormal="100" workbookViewId="0"/>
  </sheetViews>
  <sheetFormatPr defaultColWidth="9.140625" defaultRowHeight="15" x14ac:dyDescent="0.25"/>
  <cols>
    <col min="1" max="1" width="6.5703125" style="2" customWidth="1"/>
    <col min="2" max="2" width="58.5703125" style="2" customWidth="1"/>
    <col min="3" max="3" width="12.5703125" style="2" customWidth="1"/>
    <col min="4" max="4" width="2.85546875" style="2" bestFit="1" customWidth="1"/>
    <col min="5" max="5" width="6.28515625" style="2" customWidth="1"/>
    <col min="6" max="16384" width="9.140625" style="2"/>
  </cols>
  <sheetData>
    <row r="1" spans="1:5" x14ac:dyDescent="0.25">
      <c r="A1" s="1"/>
      <c r="B1" s="1"/>
      <c r="C1" s="1"/>
      <c r="D1" s="1"/>
      <c r="E1" s="1"/>
    </row>
    <row r="2" spans="1:5" x14ac:dyDescent="0.25">
      <c r="A2" s="1"/>
      <c r="B2" s="1"/>
      <c r="C2" s="1"/>
      <c r="D2" s="1"/>
      <c r="E2" s="1"/>
    </row>
    <row r="3" spans="1:5" ht="15" customHeight="1" x14ac:dyDescent="0.25">
      <c r="A3" s="1"/>
      <c r="B3" s="88" t="s">
        <v>194</v>
      </c>
      <c r="C3" s="88"/>
      <c r="D3" s="88"/>
      <c r="E3" s="1"/>
    </row>
    <row r="4" spans="1:5" ht="15" customHeight="1" x14ac:dyDescent="0.25">
      <c r="A4" s="1"/>
      <c r="B4" s="88"/>
      <c r="C4" s="88"/>
      <c r="D4" s="88"/>
      <c r="E4" s="1"/>
    </row>
    <row r="5" spans="1:5" x14ac:dyDescent="0.25">
      <c r="A5" s="1"/>
      <c r="B5" s="1"/>
      <c r="C5" s="1"/>
      <c r="D5" s="1"/>
      <c r="E5" s="1"/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38" t="s">
        <v>14</v>
      </c>
      <c r="C8" s="32"/>
      <c r="D8" s="20"/>
      <c r="E8" s="1"/>
    </row>
    <row r="9" spans="1:5" x14ac:dyDescent="0.25">
      <c r="A9" s="1"/>
      <c r="B9" s="33" t="s">
        <v>260</v>
      </c>
      <c r="C9" s="7">
        <f>'Fane 3. Omkostninger i ØR2021'!E20</f>
        <v>69611047.186243683</v>
      </c>
      <c r="D9" s="8" t="s">
        <v>3</v>
      </c>
      <c r="E9" s="1"/>
    </row>
    <row r="10" spans="1:5" ht="17.100000000000001" customHeight="1" x14ac:dyDescent="0.25">
      <c r="A10" s="1"/>
      <c r="B10" s="53" t="s">
        <v>43</v>
      </c>
      <c r="C10" s="7">
        <f>'Fane 10.1. Varige tillæg'!C13</f>
        <v>51666.940100000007</v>
      </c>
      <c r="D10" s="8" t="s">
        <v>3</v>
      </c>
      <c r="E10" s="1"/>
    </row>
    <row r="11" spans="1:5" ht="17.100000000000001" customHeight="1" x14ac:dyDescent="0.25">
      <c r="A11" s="1"/>
      <c r="B11" s="53" t="s">
        <v>44</v>
      </c>
      <c r="C11" s="9">
        <f>'Fane 10.1. Varige tillæg'!E13</f>
        <v>134803.38800000001</v>
      </c>
      <c r="D11" s="8" t="s">
        <v>3</v>
      </c>
      <c r="E11" s="1"/>
    </row>
    <row r="12" spans="1:5" ht="17.100000000000001" customHeight="1" x14ac:dyDescent="0.25">
      <c r="A12" s="1"/>
      <c r="B12" s="53" t="s">
        <v>29</v>
      </c>
      <c r="C12" s="9">
        <f>-'Fane 13. Bortfald'!C12</f>
        <v>0</v>
      </c>
      <c r="D12" s="8" t="s">
        <v>3</v>
      </c>
      <c r="E12" s="1"/>
    </row>
    <row r="13" spans="1:5" ht="17.100000000000001" customHeight="1" x14ac:dyDescent="0.25">
      <c r="A13" s="1"/>
      <c r="B13" s="53" t="s">
        <v>28</v>
      </c>
      <c r="C13" s="9">
        <f>-'Fane 13. Bortfald'!E12</f>
        <v>0</v>
      </c>
      <c r="D13" s="8" t="s">
        <v>3</v>
      </c>
      <c r="E13" s="1"/>
    </row>
    <row r="14" spans="1:5" ht="17.100000000000001" customHeight="1" x14ac:dyDescent="0.25">
      <c r="A14" s="1"/>
      <c r="B14" s="53" t="s">
        <v>149</v>
      </c>
      <c r="C14" s="9">
        <f>'Fane 12. Tilknyttet virksomhed'!C12</f>
        <v>0</v>
      </c>
      <c r="D14" s="8" t="s">
        <v>3</v>
      </c>
      <c r="E14" s="1"/>
    </row>
    <row r="15" spans="1:5" ht="17.100000000000001" customHeight="1" x14ac:dyDescent="0.25">
      <c r="A15" s="1"/>
      <c r="B15" s="53" t="s">
        <v>150</v>
      </c>
      <c r="C15" s="9">
        <f>'Fane 12. Tilknyttet virksomhed'!E12</f>
        <v>0</v>
      </c>
      <c r="D15" s="8" t="s">
        <v>3</v>
      </c>
      <c r="E15" s="1"/>
    </row>
    <row r="16" spans="1:5" ht="17.100000000000001" customHeight="1" x14ac:dyDescent="0.25">
      <c r="A16" s="1"/>
      <c r="B16" s="53" t="s">
        <v>20</v>
      </c>
      <c r="C16" s="9">
        <f>SUM(C9:C15)*'Fane 14. Nøgletal'!C14</f>
        <v>230331.80779733413</v>
      </c>
      <c r="D16" s="8" t="s">
        <v>3</v>
      </c>
      <c r="E16" s="1"/>
    </row>
    <row r="17" spans="1:5" ht="17.100000000000001" customHeight="1" x14ac:dyDescent="0.25">
      <c r="A17" s="1"/>
      <c r="B17" s="53" t="s">
        <v>10</v>
      </c>
      <c r="C17" s="9">
        <f>-SUM(C9:C16)*'Fane 5. Individuelt eff. krav'!G12</f>
        <v>-328279.11451789492</v>
      </c>
      <c r="D17" s="8" t="s">
        <v>3</v>
      </c>
      <c r="E17" s="1"/>
    </row>
    <row r="18" spans="1:5" ht="17.100000000000001" customHeight="1" x14ac:dyDescent="0.25">
      <c r="A18" s="1"/>
      <c r="B18" s="53" t="s">
        <v>26</v>
      </c>
      <c r="C18" s="9">
        <f>-'Fane 4.1. Gen. krav - drift'!G40</f>
        <v>-586342.49703940842</v>
      </c>
      <c r="D18" s="8" t="s">
        <v>3</v>
      </c>
      <c r="E18" s="1"/>
    </row>
    <row r="19" spans="1:5" ht="17.100000000000001" customHeight="1" x14ac:dyDescent="0.25">
      <c r="A19" s="1"/>
      <c r="B19" s="53" t="s">
        <v>27</v>
      </c>
      <c r="C19" s="9">
        <f>-'Fane 4.2. Gen. krav - anlæg'!G38</f>
        <v>-644079.55413115944</v>
      </c>
      <c r="D19" s="8" t="s">
        <v>3</v>
      </c>
      <c r="E19" s="1"/>
    </row>
    <row r="20" spans="1:5" ht="17.100000000000001" customHeight="1" x14ac:dyDescent="0.25">
      <c r="A20" s="1"/>
      <c r="B20" s="59" t="s">
        <v>22</v>
      </c>
      <c r="C20" s="10">
        <f>SUM(C9:C19)</f>
        <v>68469148.156452537</v>
      </c>
      <c r="D20" s="11" t="s">
        <v>3</v>
      </c>
      <c r="E20" s="1"/>
    </row>
    <row r="21" spans="1:5" ht="15" customHeight="1" x14ac:dyDescent="0.25">
      <c r="A21" s="1"/>
      <c r="B21" s="38" t="s">
        <v>13</v>
      </c>
      <c r="C21" s="32"/>
      <c r="D21" s="20"/>
      <c r="E21" s="1"/>
    </row>
    <row r="22" spans="1:5" ht="15" customHeight="1" x14ac:dyDescent="0.25">
      <c r="A22" s="1"/>
      <c r="B22" s="36" t="s">
        <v>13</v>
      </c>
      <c r="C22" s="10">
        <f>'Fane 6. Ikke-påvirkelige omk.'!C15+'Fane 6. Ikke-påvirkelige omk.'!C19+'Fane 6. Ikke-påvirkelige omk.'!C27</f>
        <v>1792540.8136773319</v>
      </c>
      <c r="D22" s="11" t="s">
        <v>3</v>
      </c>
      <c r="E22" s="1"/>
    </row>
    <row r="23" spans="1:5" ht="15" customHeight="1" x14ac:dyDescent="0.25">
      <c r="A23" s="1"/>
      <c r="B23" s="38" t="s">
        <v>94</v>
      </c>
      <c r="C23" s="32"/>
      <c r="D23" s="20"/>
      <c r="E23" s="1"/>
    </row>
    <row r="24" spans="1:5" ht="15" customHeight="1" x14ac:dyDescent="0.25">
      <c r="A24" s="1"/>
      <c r="B24" s="59" t="s">
        <v>94</v>
      </c>
      <c r="C24" s="10">
        <f>'Fane 11. Periodevise driftsomk.'!E12</f>
        <v>0</v>
      </c>
      <c r="D24" s="11" t="s">
        <v>3</v>
      </c>
      <c r="E24" s="1"/>
    </row>
    <row r="25" spans="1:5" ht="15" customHeight="1" x14ac:dyDescent="0.25">
      <c r="A25" s="1"/>
      <c r="B25" s="38" t="s">
        <v>93</v>
      </c>
      <c r="C25" s="32"/>
      <c r="D25" s="20"/>
      <c r="E25" s="1"/>
    </row>
    <row r="26" spans="1:5" ht="15" customHeight="1" x14ac:dyDescent="0.25">
      <c r="A26" s="1"/>
      <c r="B26" s="53" t="s">
        <v>89</v>
      </c>
      <c r="C26" s="9">
        <f>'Fane 10.2. Engangstillæg'!C14</f>
        <v>0</v>
      </c>
      <c r="D26" s="8" t="s">
        <v>3</v>
      </c>
      <c r="E26" s="1"/>
    </row>
    <row r="27" spans="1:5" ht="15" customHeight="1" x14ac:dyDescent="0.25">
      <c r="A27" s="1"/>
      <c r="B27" s="53" t="s">
        <v>90</v>
      </c>
      <c r="C27" s="9">
        <f>'Fane 10.2. Engangstillæg'!E14</f>
        <v>0</v>
      </c>
      <c r="D27" s="8" t="s">
        <v>3</v>
      </c>
      <c r="E27" s="1"/>
    </row>
    <row r="28" spans="1:5" x14ac:dyDescent="0.25">
      <c r="A28" s="1"/>
      <c r="B28" s="59" t="s">
        <v>95</v>
      </c>
      <c r="C28" s="10">
        <f>SUM(C26:C27)</f>
        <v>0</v>
      </c>
      <c r="D28" s="11" t="s">
        <v>3</v>
      </c>
      <c r="E28" s="1"/>
    </row>
    <row r="29" spans="1:5" x14ac:dyDescent="0.25">
      <c r="A29" s="1"/>
      <c r="B29" s="38" t="s">
        <v>187</v>
      </c>
      <c r="C29" s="32"/>
      <c r="D29" s="20"/>
      <c r="E29" s="1"/>
    </row>
    <row r="30" spans="1:5" x14ac:dyDescent="0.25">
      <c r="A30" s="1"/>
      <c r="B30" s="36" t="s">
        <v>284</v>
      </c>
      <c r="C30" s="10">
        <f>'Fane 7. Kontrol af ØR2020'!E34</f>
        <v>0</v>
      </c>
      <c r="D30" s="11" t="s">
        <v>3</v>
      </c>
      <c r="E30" s="1"/>
    </row>
    <row r="31" spans="1:5" ht="15" customHeight="1" x14ac:dyDescent="0.25">
      <c r="A31" s="1"/>
      <c r="B31" s="38" t="s">
        <v>195</v>
      </c>
      <c r="C31" s="32"/>
      <c r="D31" s="20"/>
      <c r="E31" s="1"/>
    </row>
    <row r="32" spans="1:5" x14ac:dyDescent="0.25">
      <c r="A32" s="1"/>
      <c r="B32" s="36" t="s">
        <v>195</v>
      </c>
      <c r="C32" s="10">
        <f>'Fane 8. Korrektion af ØR2020'!E17</f>
        <v>0</v>
      </c>
      <c r="D32" s="11" t="s">
        <v>3</v>
      </c>
      <c r="E32" s="1"/>
    </row>
    <row r="33" spans="1:5" x14ac:dyDescent="0.25">
      <c r="A33" s="1"/>
      <c r="B33" s="35" t="s">
        <v>258</v>
      </c>
      <c r="C33" s="32"/>
      <c r="D33" s="20"/>
      <c r="E33" s="1"/>
    </row>
    <row r="34" spans="1:5" x14ac:dyDescent="0.25">
      <c r="A34" s="1"/>
      <c r="B34" s="66" t="s">
        <v>259</v>
      </c>
      <c r="C34" s="10">
        <v>0</v>
      </c>
      <c r="D34" s="11" t="s">
        <v>3</v>
      </c>
      <c r="E34" s="1"/>
    </row>
    <row r="35" spans="1:5" x14ac:dyDescent="0.25">
      <c r="A35" s="1"/>
      <c r="B35" s="38" t="s">
        <v>32</v>
      </c>
      <c r="C35" s="34">
        <f>SUM(C32,C30,C28,C24,C22,C20)</f>
        <v>70261688.970129862</v>
      </c>
      <c r="D35" s="35" t="s">
        <v>3</v>
      </c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</sheetData>
  <sheetProtection algorithmName="SHA-512" hashValue="sZw5+rR0RpX/kyn9x09x6r+GyjjmIwpae/+AILf1sQv903PHWXKIU4Vf41WBG6PkZCES3dxRyw76stDRN6AuxQ==" saltValue="PTmPm90NMp2obyqk21zTyA==" spinCount="100000" sheet="1" objects="1" scenarios="1"/>
  <mergeCells count="1">
    <mergeCell ref="B3:D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/>
  <dimension ref="A1:E51"/>
  <sheetViews>
    <sheetView showGridLines="0" view="pageLayout" zoomScaleNormal="100" workbookViewId="0"/>
  </sheetViews>
  <sheetFormatPr defaultColWidth="9.140625" defaultRowHeight="15" x14ac:dyDescent="0.25"/>
  <cols>
    <col min="1" max="1" width="5.140625" style="2" customWidth="1"/>
    <col min="2" max="2" width="60.85546875" style="2" customWidth="1"/>
    <col min="3" max="3" width="12.28515625" style="2" bestFit="1" customWidth="1"/>
    <col min="4" max="4" width="3.28515625" style="2" customWidth="1"/>
    <col min="5" max="5" width="5.140625" style="2" customWidth="1"/>
    <col min="6" max="16384" width="9.140625" style="2"/>
  </cols>
  <sheetData>
    <row r="1" spans="1:5" x14ac:dyDescent="0.25">
      <c r="A1" s="1"/>
      <c r="B1" s="1"/>
      <c r="C1" s="1"/>
      <c r="D1" s="1"/>
      <c r="E1" s="1"/>
    </row>
    <row r="2" spans="1:5" x14ac:dyDescent="0.25">
      <c r="A2" s="1"/>
      <c r="B2" s="1"/>
      <c r="C2" s="1"/>
      <c r="D2" s="1"/>
      <c r="E2" s="1"/>
    </row>
    <row r="3" spans="1:5" ht="15" customHeight="1" x14ac:dyDescent="0.25">
      <c r="A3" s="1"/>
      <c r="B3" s="88" t="s">
        <v>196</v>
      </c>
      <c r="C3" s="88"/>
      <c r="D3" s="88"/>
      <c r="E3" s="1"/>
    </row>
    <row r="4" spans="1:5" ht="15" customHeight="1" x14ac:dyDescent="0.25">
      <c r="A4" s="1"/>
      <c r="B4" s="88"/>
      <c r="C4" s="88"/>
      <c r="D4" s="88"/>
      <c r="E4" s="1"/>
    </row>
    <row r="5" spans="1:5" x14ac:dyDescent="0.25">
      <c r="A5" s="1"/>
      <c r="B5" s="89"/>
      <c r="C5" s="89"/>
      <c r="D5" s="89"/>
      <c r="E5" s="1"/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38" t="s">
        <v>14</v>
      </c>
      <c r="C8" s="32"/>
      <c r="D8" s="20"/>
      <c r="E8" s="1"/>
    </row>
    <row r="9" spans="1:5" ht="15" customHeight="1" x14ac:dyDescent="0.25">
      <c r="A9" s="1"/>
      <c r="B9" s="33" t="s">
        <v>151</v>
      </c>
      <c r="C9" s="7">
        <f>'Fane 2.1. Økonomisk ramme 2022'!C20</f>
        <v>68469148.156452537</v>
      </c>
      <c r="D9" s="8" t="s">
        <v>3</v>
      </c>
      <c r="E9" s="1"/>
    </row>
    <row r="10" spans="1:5" ht="15" customHeight="1" x14ac:dyDescent="0.25">
      <c r="A10" s="1"/>
      <c r="B10" s="53" t="s">
        <v>29</v>
      </c>
      <c r="C10" s="7">
        <f>-'Fane 13. Bortfald'!C18</f>
        <v>0</v>
      </c>
      <c r="D10" s="8" t="s">
        <v>3</v>
      </c>
      <c r="E10" s="1"/>
    </row>
    <row r="11" spans="1:5" ht="15" customHeight="1" x14ac:dyDescent="0.25">
      <c r="A11" s="1"/>
      <c r="B11" s="53" t="s">
        <v>28</v>
      </c>
      <c r="C11" s="7">
        <f>-'Fane 13. Bortfald'!E18</f>
        <v>0</v>
      </c>
      <c r="D11" s="8" t="s">
        <v>3</v>
      </c>
      <c r="E11" s="1"/>
    </row>
    <row r="12" spans="1:5" ht="15" customHeight="1" x14ac:dyDescent="0.25">
      <c r="A12" s="1"/>
      <c r="B12" s="30" t="s">
        <v>20</v>
      </c>
      <c r="C12" s="9">
        <f>SUM(C9:C11)*'Fane 14. Nøgletal'!C14</f>
        <v>225948.18891629338</v>
      </c>
      <c r="D12" s="8" t="s">
        <v>3</v>
      </c>
      <c r="E12" s="1"/>
    </row>
    <row r="13" spans="1:5" ht="15" customHeight="1" x14ac:dyDescent="0.25">
      <c r="A13" s="1"/>
      <c r="B13" s="30" t="s">
        <v>10</v>
      </c>
      <c r="C13" s="9">
        <f>-SUM(C9:C12)*'Fane 5. Individuelt eff. krav'!G12</f>
        <v>-322031.38634516171</v>
      </c>
      <c r="D13" s="8" t="s">
        <v>3</v>
      </c>
      <c r="E13" s="1"/>
    </row>
    <row r="14" spans="1:5" ht="15" customHeight="1" x14ac:dyDescent="0.25">
      <c r="A14" s="1"/>
      <c r="B14" s="30" t="s">
        <v>26</v>
      </c>
      <c r="C14" s="9">
        <f>-'Fane 4.1. Gen. krav - drift'!G47</f>
        <v>-576511.87873404578</v>
      </c>
      <c r="D14" s="8" t="s">
        <v>3</v>
      </c>
      <c r="E14" s="1"/>
    </row>
    <row r="15" spans="1:5" ht="15" customHeight="1" x14ac:dyDescent="0.25">
      <c r="A15" s="1"/>
      <c r="B15" s="30" t="s">
        <v>27</v>
      </c>
      <c r="C15" s="9">
        <f>-'Fane 4.2. Gen. krav - anlæg'!G45</f>
        <v>-636641.18241322739</v>
      </c>
      <c r="D15" s="8" t="s">
        <v>3</v>
      </c>
      <c r="E15" s="1"/>
    </row>
    <row r="16" spans="1:5" ht="15" customHeight="1" x14ac:dyDescent="0.25">
      <c r="A16" s="1"/>
      <c r="B16" s="31" t="s">
        <v>22</v>
      </c>
      <c r="C16" s="10">
        <f>SUM(C9:C15)</f>
        <v>67159911.897876397</v>
      </c>
      <c r="D16" s="11" t="s">
        <v>3</v>
      </c>
      <c r="E16" s="1"/>
    </row>
    <row r="17" spans="1:5" x14ac:dyDescent="0.25">
      <c r="A17" s="1"/>
      <c r="B17" s="38" t="s">
        <v>13</v>
      </c>
      <c r="C17" s="32"/>
      <c r="D17" s="20"/>
      <c r="E17" s="1"/>
    </row>
    <row r="18" spans="1:5" ht="15" customHeight="1" x14ac:dyDescent="0.25">
      <c r="A18" s="1"/>
      <c r="B18" s="36" t="s">
        <v>13</v>
      </c>
      <c r="C18" s="10">
        <f>'Fane 6. Ikke-påvirkelige omk.'!C15*(1+'Fane 14. Nøgletal'!C14)+'Fane 6. Ikke-påvirkelige omk.'!C20+'Fane 6. Ikke-påvirkelige omk.'!C28</f>
        <v>1798456.1983624673</v>
      </c>
      <c r="D18" s="11" t="s">
        <v>3</v>
      </c>
      <c r="E18" s="1"/>
    </row>
    <row r="19" spans="1:5" ht="15" customHeight="1" x14ac:dyDescent="0.25">
      <c r="A19" s="1"/>
      <c r="B19" s="38" t="s">
        <v>94</v>
      </c>
      <c r="C19" s="32"/>
      <c r="D19" s="20"/>
      <c r="E19" s="1"/>
    </row>
    <row r="20" spans="1:5" ht="15" customHeight="1" x14ac:dyDescent="0.25">
      <c r="A20" s="1"/>
      <c r="B20" s="59" t="s">
        <v>94</v>
      </c>
      <c r="C20" s="10">
        <f>'Fane 11. Periodevise driftsomk.'!E18</f>
        <v>0</v>
      </c>
      <c r="D20" s="11" t="s">
        <v>3</v>
      </c>
      <c r="E20" s="1"/>
    </row>
    <row r="21" spans="1:5" ht="15" customHeight="1" x14ac:dyDescent="0.25">
      <c r="A21" s="1"/>
      <c r="B21" s="38" t="s">
        <v>93</v>
      </c>
      <c r="C21" s="32"/>
      <c r="D21" s="20"/>
      <c r="E21" s="1"/>
    </row>
    <row r="22" spans="1:5" ht="15" customHeight="1" x14ac:dyDescent="0.25">
      <c r="A22" s="1"/>
      <c r="B22" s="53" t="s">
        <v>89</v>
      </c>
      <c r="C22" s="9">
        <f>'Fane 10.2. Engangstillæg'!C22</f>
        <v>0</v>
      </c>
      <c r="D22" s="8" t="s">
        <v>3</v>
      </c>
      <c r="E22" s="1"/>
    </row>
    <row r="23" spans="1:5" ht="15" customHeight="1" x14ac:dyDescent="0.25">
      <c r="A23" s="1"/>
      <c r="B23" s="53" t="s">
        <v>90</v>
      </c>
      <c r="C23" s="9">
        <f>'Fane 10.2. Engangstillæg'!E22</f>
        <v>0</v>
      </c>
      <c r="D23" s="8" t="s">
        <v>3</v>
      </c>
      <c r="E23" s="1"/>
    </row>
    <row r="24" spans="1:5" ht="15" customHeight="1" x14ac:dyDescent="0.25">
      <c r="A24" s="1"/>
      <c r="B24" s="59" t="s">
        <v>95</v>
      </c>
      <c r="C24" s="10">
        <f>SUM(C22:C23)</f>
        <v>0</v>
      </c>
      <c r="D24" s="11" t="s">
        <v>3</v>
      </c>
      <c r="E24" s="1"/>
    </row>
    <row r="25" spans="1:5" x14ac:dyDescent="0.25">
      <c r="A25" s="1"/>
      <c r="B25" s="38" t="s">
        <v>187</v>
      </c>
      <c r="C25" s="32"/>
      <c r="D25" s="20"/>
      <c r="E25" s="1"/>
    </row>
    <row r="26" spans="1:5" ht="15" customHeight="1" x14ac:dyDescent="0.25">
      <c r="A26" s="1"/>
      <c r="B26" s="36" t="s">
        <v>284</v>
      </c>
      <c r="C26" s="10">
        <f>'Fane 7. Kontrol af ØR2020'!E34</f>
        <v>0</v>
      </c>
      <c r="D26" s="11" t="s">
        <v>3</v>
      </c>
      <c r="E26" s="1"/>
    </row>
    <row r="27" spans="1:5" x14ac:dyDescent="0.25">
      <c r="A27" s="1"/>
      <c r="B27" s="35" t="s">
        <v>258</v>
      </c>
      <c r="C27" s="32"/>
      <c r="D27" s="20"/>
      <c r="E27" s="1"/>
    </row>
    <row r="28" spans="1:5" x14ac:dyDescent="0.25">
      <c r="A28" s="1"/>
      <c r="B28" s="66" t="s">
        <v>259</v>
      </c>
      <c r="C28" s="10">
        <v>0</v>
      </c>
      <c r="D28" s="11" t="s">
        <v>3</v>
      </c>
      <c r="E28" s="1"/>
    </row>
    <row r="29" spans="1:5" x14ac:dyDescent="0.25">
      <c r="A29" s="1"/>
      <c r="B29" s="38" t="s">
        <v>102</v>
      </c>
      <c r="C29" s="12">
        <f>SUM(C16,C18,C20,C24,C26,C28)</f>
        <v>68958368.096238866</v>
      </c>
      <c r="D29" s="13" t="s">
        <v>3</v>
      </c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  <row r="50" spans="1:5" x14ac:dyDescent="0.25">
      <c r="A50" s="1"/>
      <c r="B50" s="1"/>
      <c r="C50" s="1"/>
      <c r="D50" s="1"/>
      <c r="E50" s="1"/>
    </row>
    <row r="51" spans="1:5" x14ac:dyDescent="0.25">
      <c r="A51" s="1"/>
      <c r="B51" s="1"/>
      <c r="C51" s="1"/>
      <c r="D51" s="1"/>
      <c r="E51" s="1"/>
    </row>
  </sheetData>
  <sheetProtection algorithmName="SHA-512" hashValue="ugpWrrJrIEatoTCnZ0iZVKAO6yp5Zqh2lIVp6iQAqXF0cA1/4iStFY1yDQXTPa7eQSnHuN0XzAUbECAvbzwL3A==" saltValue="S6FZ40Vu15APQUdOxwwxgA==" spinCount="100000" sheet="1" objects="1" scenarios="1"/>
  <mergeCells count="2">
    <mergeCell ref="B3:D4"/>
    <mergeCell ref="B5:D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/>
  <dimension ref="A1:E49"/>
  <sheetViews>
    <sheetView showGridLines="0" view="pageLayout" zoomScaleNormal="100" workbookViewId="0"/>
  </sheetViews>
  <sheetFormatPr defaultColWidth="9.140625" defaultRowHeight="15" x14ac:dyDescent="0.25"/>
  <cols>
    <col min="1" max="1" width="5.140625" style="2" customWidth="1"/>
    <col min="2" max="2" width="62.140625" style="2" customWidth="1"/>
    <col min="3" max="3" width="10.85546875" style="2" bestFit="1" customWidth="1"/>
    <col min="4" max="4" width="3.28515625" style="2" customWidth="1"/>
    <col min="5" max="5" width="5.140625" style="2" customWidth="1"/>
    <col min="6" max="16384" width="9.140625" style="2"/>
  </cols>
  <sheetData>
    <row r="1" spans="1:5" x14ac:dyDescent="0.25">
      <c r="A1" s="1"/>
      <c r="B1" s="1"/>
      <c r="C1" s="1"/>
      <c r="D1" s="1"/>
      <c r="E1" s="1"/>
    </row>
    <row r="2" spans="1:5" x14ac:dyDescent="0.25">
      <c r="A2" s="1"/>
      <c r="B2" s="1"/>
      <c r="C2" s="1"/>
      <c r="D2" s="1"/>
      <c r="E2" s="1"/>
    </row>
    <row r="3" spans="1:5" ht="15" customHeight="1" x14ac:dyDescent="0.25">
      <c r="A3" s="1"/>
      <c r="B3" s="88" t="s">
        <v>197</v>
      </c>
      <c r="C3" s="88"/>
      <c r="D3" s="88"/>
      <c r="E3" s="1"/>
    </row>
    <row r="4" spans="1:5" ht="15" customHeight="1" x14ac:dyDescent="0.25">
      <c r="A4" s="1"/>
      <c r="B4" s="88"/>
      <c r="C4" s="88"/>
      <c r="D4" s="88"/>
      <c r="E4" s="1"/>
    </row>
    <row r="5" spans="1:5" x14ac:dyDescent="0.25">
      <c r="A5" s="1"/>
      <c r="B5" s="89" t="s">
        <v>23</v>
      </c>
      <c r="C5" s="89"/>
      <c r="D5" s="89"/>
      <c r="E5" s="1"/>
    </row>
    <row r="6" spans="1:5" x14ac:dyDescent="0.25">
      <c r="A6" s="1"/>
      <c r="B6" s="52"/>
      <c r="C6" s="52"/>
      <c r="D6" s="52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38" t="s">
        <v>14</v>
      </c>
      <c r="C8" s="32"/>
      <c r="D8" s="20"/>
      <c r="E8" s="1"/>
    </row>
    <row r="9" spans="1:5" ht="15" customHeight="1" x14ac:dyDescent="0.25">
      <c r="A9" s="1"/>
      <c r="B9" s="33" t="s">
        <v>152</v>
      </c>
      <c r="C9" s="7">
        <f>'Fane 2.2. Økonomisk ramme 2023'!C16</f>
        <v>67159911.897876397</v>
      </c>
      <c r="D9" s="8" t="s">
        <v>3</v>
      </c>
      <c r="E9" s="1"/>
    </row>
    <row r="10" spans="1:5" ht="15" customHeight="1" x14ac:dyDescent="0.25">
      <c r="A10" s="1"/>
      <c r="B10" s="33" t="s">
        <v>29</v>
      </c>
      <c r="C10" s="7">
        <f>-'Fane 13. Bortfald'!C24</f>
        <v>0</v>
      </c>
      <c r="D10" s="8" t="s">
        <v>3</v>
      </c>
      <c r="E10" s="1"/>
    </row>
    <row r="11" spans="1:5" ht="15" customHeight="1" x14ac:dyDescent="0.25">
      <c r="A11" s="1"/>
      <c r="B11" s="33" t="s">
        <v>28</v>
      </c>
      <c r="C11" s="7">
        <f>-'Fane 13. Bortfald'!E24</f>
        <v>0</v>
      </c>
      <c r="D11" s="8" t="s">
        <v>3</v>
      </c>
      <c r="E11" s="1"/>
    </row>
    <row r="12" spans="1:5" ht="15" customHeight="1" x14ac:dyDescent="0.25">
      <c r="A12" s="1"/>
      <c r="B12" s="30" t="s">
        <v>20</v>
      </c>
      <c r="C12" s="9">
        <f>SUM(C9:C11)*'Fane 14. Nøgletal'!C14</f>
        <v>221627.70926299211</v>
      </c>
      <c r="D12" s="8" t="s">
        <v>3</v>
      </c>
      <c r="E12" s="1"/>
    </row>
    <row r="13" spans="1:5" ht="15" customHeight="1" x14ac:dyDescent="0.25">
      <c r="A13" s="1"/>
      <c r="B13" s="30" t="s">
        <v>10</v>
      </c>
      <c r="C13" s="9">
        <f>-SUM(C9:C12)*'Fane 5. Individuelt eff. krav'!G12</f>
        <v>-315873.64700189966</v>
      </c>
      <c r="D13" s="8" t="s">
        <v>3</v>
      </c>
      <c r="E13" s="1"/>
    </row>
    <row r="14" spans="1:5" ht="15" customHeight="1" x14ac:dyDescent="0.25">
      <c r="A14" s="1"/>
      <c r="B14" s="30" t="s">
        <v>26</v>
      </c>
      <c r="C14" s="9">
        <f>-'Fane 4.1. Gen. krav - drift'!G55</f>
        <v>-566846.08057519083</v>
      </c>
      <c r="D14" s="8" t="s">
        <v>3</v>
      </c>
      <c r="E14" s="1"/>
    </row>
    <row r="15" spans="1:5" ht="15" customHeight="1" x14ac:dyDescent="0.25">
      <c r="A15" s="1"/>
      <c r="B15" s="30" t="s">
        <v>27</v>
      </c>
      <c r="C15" s="9">
        <f>-'Fane 4.2. Gen. krav - anlæg'!G56</f>
        <v>-629288.71526012628</v>
      </c>
      <c r="D15" s="8" t="s">
        <v>3</v>
      </c>
      <c r="E15" s="1"/>
    </row>
    <row r="16" spans="1:5" x14ac:dyDescent="0.25">
      <c r="A16" s="1"/>
      <c r="B16" s="31" t="s">
        <v>22</v>
      </c>
      <c r="C16" s="10">
        <f>SUM(C9:C15)</f>
        <v>65869531.164302178</v>
      </c>
      <c r="D16" s="11" t="s">
        <v>3</v>
      </c>
      <c r="E16" s="1"/>
    </row>
    <row r="17" spans="1:5" x14ac:dyDescent="0.25">
      <c r="A17" s="1"/>
      <c r="B17" s="38" t="s">
        <v>13</v>
      </c>
      <c r="C17" s="32"/>
      <c r="D17" s="20"/>
      <c r="E17" s="1"/>
    </row>
    <row r="18" spans="1:5" ht="15" customHeight="1" x14ac:dyDescent="0.25">
      <c r="A18" s="1"/>
      <c r="B18" s="36" t="s">
        <v>13</v>
      </c>
      <c r="C18" s="10">
        <f>'Fane 6. Ikke-påvirkelige omk.'!C15*(1+'Fane 14. Nøgletal'!C14)^2+'Fane 6. Ikke-påvirkelige omk.'!C21+'Fane 6. Ikke-påvirkelige omk.'!C29</f>
        <v>1804391.1038170634</v>
      </c>
      <c r="D18" s="11" t="s">
        <v>3</v>
      </c>
      <c r="E18" s="1"/>
    </row>
    <row r="19" spans="1:5" ht="15" customHeight="1" x14ac:dyDescent="0.25">
      <c r="A19" s="1"/>
      <c r="B19" s="38" t="s">
        <v>94</v>
      </c>
      <c r="C19" s="32"/>
      <c r="D19" s="20"/>
      <c r="E19" s="1"/>
    </row>
    <row r="20" spans="1:5" ht="15" customHeight="1" x14ac:dyDescent="0.25">
      <c r="A20" s="1"/>
      <c r="B20" s="59" t="s">
        <v>94</v>
      </c>
      <c r="C20" s="10">
        <f>'Fane 11. Periodevise driftsomk.'!E24</f>
        <v>0</v>
      </c>
      <c r="D20" s="11" t="s">
        <v>3</v>
      </c>
      <c r="E20" s="1"/>
    </row>
    <row r="21" spans="1:5" ht="15" customHeight="1" x14ac:dyDescent="0.25">
      <c r="A21" s="1"/>
      <c r="B21" s="38" t="s">
        <v>93</v>
      </c>
      <c r="C21" s="32"/>
      <c r="D21" s="20"/>
      <c r="E21" s="1"/>
    </row>
    <row r="22" spans="1:5" ht="15" customHeight="1" x14ac:dyDescent="0.25">
      <c r="A22" s="1"/>
      <c r="B22" s="53" t="s">
        <v>89</v>
      </c>
      <c r="C22" s="9">
        <f>'Fane 10.2. Engangstillæg'!C30</f>
        <v>0</v>
      </c>
      <c r="D22" s="8" t="s">
        <v>3</v>
      </c>
      <c r="E22" s="1"/>
    </row>
    <row r="23" spans="1:5" ht="15" customHeight="1" x14ac:dyDescent="0.25">
      <c r="A23" s="1"/>
      <c r="B23" s="53" t="s">
        <v>90</v>
      </c>
      <c r="C23" s="9">
        <f>'Fane 10.2. Engangstillæg'!E30</f>
        <v>0</v>
      </c>
      <c r="D23" s="8" t="s">
        <v>3</v>
      </c>
      <c r="E23" s="1"/>
    </row>
    <row r="24" spans="1:5" ht="15" customHeight="1" x14ac:dyDescent="0.25">
      <c r="A24" s="1"/>
      <c r="B24" s="59" t="s">
        <v>95</v>
      </c>
      <c r="C24" s="10">
        <f>SUM(C22:C23)</f>
        <v>0</v>
      </c>
      <c r="D24" s="11" t="s">
        <v>3</v>
      </c>
      <c r="E24" s="1"/>
    </row>
    <row r="25" spans="1:5" x14ac:dyDescent="0.25">
      <c r="A25" s="1"/>
      <c r="B25" s="35" t="s">
        <v>258</v>
      </c>
      <c r="C25" s="32"/>
      <c r="D25" s="20"/>
      <c r="E25" s="1"/>
    </row>
    <row r="26" spans="1:5" x14ac:dyDescent="0.25">
      <c r="A26" s="1"/>
      <c r="B26" s="66" t="s">
        <v>259</v>
      </c>
      <c r="C26" s="10">
        <v>0</v>
      </c>
      <c r="D26" s="11" t="s">
        <v>3</v>
      </c>
      <c r="E26" s="1"/>
    </row>
    <row r="27" spans="1:5" x14ac:dyDescent="0.25">
      <c r="A27" s="1"/>
      <c r="B27" s="38" t="s">
        <v>153</v>
      </c>
      <c r="C27" s="12">
        <f>SUM(C16,C18,C20,C24,C26)</f>
        <v>67673922.268119246</v>
      </c>
      <c r="D27" s="13" t="s">
        <v>3</v>
      </c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</sheetData>
  <sheetProtection algorithmName="SHA-512" hashValue="D+UtzCFqaQbf0zwx7jz1/tE5Kf3FgCTuZY+9fzbx2UM0aadGV7pc8AKX3/Ze/7B8epbcTBkKyIUL1xpTlSI4sQ==" saltValue="9e8qWLGDmb35RDBHsf1DtQ==" spinCount="100000" sheet="1" objects="1" scenarios="1"/>
  <mergeCells count="2">
    <mergeCell ref="B3:D4"/>
    <mergeCell ref="B5:D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6"/>
  <dimension ref="A1:E51"/>
  <sheetViews>
    <sheetView showGridLines="0" view="pageLayout" zoomScaleNormal="100" workbookViewId="0"/>
  </sheetViews>
  <sheetFormatPr defaultColWidth="9.140625" defaultRowHeight="15" x14ac:dyDescent="0.25"/>
  <cols>
    <col min="1" max="1" width="5.140625" style="2" customWidth="1"/>
    <col min="2" max="2" width="62.5703125" style="2" customWidth="1"/>
    <col min="3" max="3" width="10.85546875" style="2" bestFit="1" customWidth="1"/>
    <col min="4" max="4" width="3.28515625" style="2" customWidth="1"/>
    <col min="5" max="5" width="5.140625" style="2" customWidth="1"/>
    <col min="6" max="16384" width="9.140625" style="2"/>
  </cols>
  <sheetData>
    <row r="1" spans="1:5" x14ac:dyDescent="0.25">
      <c r="A1" s="1"/>
      <c r="B1" s="1"/>
      <c r="C1" s="1"/>
      <c r="D1" s="1"/>
      <c r="E1" s="1"/>
    </row>
    <row r="2" spans="1:5" x14ac:dyDescent="0.25">
      <c r="A2" s="1"/>
      <c r="B2" s="1"/>
      <c r="C2" s="1"/>
      <c r="D2" s="1"/>
      <c r="E2" s="1"/>
    </row>
    <row r="3" spans="1:5" ht="15" customHeight="1" x14ac:dyDescent="0.25">
      <c r="A3" s="1"/>
      <c r="B3" s="88" t="s">
        <v>198</v>
      </c>
      <c r="C3" s="88"/>
      <c r="D3" s="88"/>
      <c r="E3" s="1"/>
    </row>
    <row r="4" spans="1:5" ht="15" customHeight="1" x14ac:dyDescent="0.25">
      <c r="A4" s="1"/>
      <c r="B4" s="88"/>
      <c r="C4" s="88"/>
      <c r="D4" s="88"/>
      <c r="E4" s="1"/>
    </row>
    <row r="5" spans="1:5" x14ac:dyDescent="0.25">
      <c r="A5" s="1"/>
      <c r="B5" s="89" t="s">
        <v>23</v>
      </c>
      <c r="C5" s="89"/>
      <c r="D5" s="89"/>
      <c r="E5" s="1"/>
    </row>
    <row r="6" spans="1:5" x14ac:dyDescent="0.25">
      <c r="A6" s="1"/>
      <c r="B6" s="52"/>
      <c r="C6" s="52"/>
      <c r="D6" s="52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38" t="s">
        <v>14</v>
      </c>
      <c r="C8" s="32"/>
      <c r="D8" s="20"/>
      <c r="E8" s="1"/>
    </row>
    <row r="9" spans="1:5" ht="15" customHeight="1" x14ac:dyDescent="0.25">
      <c r="A9" s="1"/>
      <c r="B9" s="33" t="s">
        <v>199</v>
      </c>
      <c r="C9" s="7">
        <f>'Fane 2.3. Økonomisk ramme 2024'!C16</f>
        <v>65869531.164302178</v>
      </c>
      <c r="D9" s="8" t="s">
        <v>3</v>
      </c>
      <c r="E9" s="1"/>
    </row>
    <row r="10" spans="1:5" ht="15" customHeight="1" x14ac:dyDescent="0.25">
      <c r="A10" s="1"/>
      <c r="B10" s="33" t="s">
        <v>29</v>
      </c>
      <c r="C10" s="7">
        <f>-'Fane 13. Bortfald'!C30</f>
        <v>0</v>
      </c>
      <c r="D10" s="8" t="s">
        <v>3</v>
      </c>
      <c r="E10" s="1"/>
    </row>
    <row r="11" spans="1:5" ht="15" customHeight="1" x14ac:dyDescent="0.25">
      <c r="A11" s="1"/>
      <c r="B11" s="33" t="s">
        <v>28</v>
      </c>
      <c r="C11" s="7">
        <f>-'Fane 13. Bortfald'!E30</f>
        <v>0</v>
      </c>
      <c r="D11" s="8" t="s">
        <v>3</v>
      </c>
      <c r="E11" s="1"/>
    </row>
    <row r="12" spans="1:5" ht="15" customHeight="1" x14ac:dyDescent="0.25">
      <c r="A12" s="1"/>
      <c r="B12" s="30" t="s">
        <v>20</v>
      </c>
      <c r="C12" s="9">
        <f>SUM(C9:C11)*'Fane 14. Nøgletal'!C14</f>
        <v>217369.45284219718</v>
      </c>
      <c r="D12" s="8" t="s">
        <v>3</v>
      </c>
      <c r="E12" s="1"/>
    </row>
    <row r="13" spans="1:5" ht="15" customHeight="1" x14ac:dyDescent="0.25">
      <c r="A13" s="1"/>
      <c r="B13" s="30" t="s">
        <v>10</v>
      </c>
      <c r="C13" s="9">
        <f>-SUM(C9:C12)*'Fane 5. Individuelt eff. krav'!G12</f>
        <v>-309804.5909710509</v>
      </c>
      <c r="D13" s="8" t="s">
        <v>3</v>
      </c>
      <c r="E13" s="1"/>
    </row>
    <row r="14" spans="1:5" ht="15" customHeight="1" x14ac:dyDescent="0.25">
      <c r="A14" s="1"/>
      <c r="B14" s="30" t="s">
        <v>26</v>
      </c>
      <c r="C14" s="9">
        <f>-'Fane 4.1. Gen. krav - drift'!G61</f>
        <v>-557342.33918826724</v>
      </c>
      <c r="D14" s="8" t="s">
        <v>3</v>
      </c>
      <c r="E14" s="1"/>
    </row>
    <row r="15" spans="1:5" ht="15" customHeight="1" x14ac:dyDescent="0.25">
      <c r="A15" s="1"/>
      <c r="B15" s="30" t="s">
        <v>27</v>
      </c>
      <c r="C15" s="9">
        <f>-'Fane 4.2. Gen. krav - anlæg'!G62</f>
        <v>-622021.16057378158</v>
      </c>
      <c r="D15" s="8" t="s">
        <v>3</v>
      </c>
      <c r="E15" s="1"/>
    </row>
    <row r="16" spans="1:5" x14ac:dyDescent="0.25">
      <c r="A16" s="1"/>
      <c r="B16" s="31" t="s">
        <v>22</v>
      </c>
      <c r="C16" s="10">
        <f>SUM(C9:C15)</f>
        <v>64597732.526411273</v>
      </c>
      <c r="D16" s="11" t="s">
        <v>3</v>
      </c>
      <c r="E16" s="1"/>
    </row>
    <row r="17" spans="1:5" x14ac:dyDescent="0.25">
      <c r="A17" s="1"/>
      <c r="B17" s="38" t="s">
        <v>13</v>
      </c>
      <c r="C17" s="32"/>
      <c r="D17" s="20"/>
      <c r="E17" s="1"/>
    </row>
    <row r="18" spans="1:5" ht="15" customHeight="1" x14ac:dyDescent="0.25">
      <c r="A18" s="1"/>
      <c r="B18" s="36" t="s">
        <v>13</v>
      </c>
      <c r="C18" s="10">
        <f>'Fane 6. Ikke-påvirkelige omk.'!C15*(1+'Fane 14. Nøgletal'!C14)^3+'Fane 6. Ikke-påvirkelige omk.'!C22+'Fane 6. Ikke-påvirkelige omk.'!C30</f>
        <v>1810345.5944596599</v>
      </c>
      <c r="D18" s="11" t="s">
        <v>3</v>
      </c>
      <c r="E18" s="1"/>
    </row>
    <row r="19" spans="1:5" ht="15" customHeight="1" x14ac:dyDescent="0.25">
      <c r="A19" s="1"/>
      <c r="B19" s="38" t="s">
        <v>94</v>
      </c>
      <c r="C19" s="32"/>
      <c r="D19" s="20"/>
      <c r="E19" s="1"/>
    </row>
    <row r="20" spans="1:5" ht="15" customHeight="1" x14ac:dyDescent="0.25">
      <c r="A20" s="1"/>
      <c r="B20" s="59" t="s">
        <v>94</v>
      </c>
      <c r="C20" s="10">
        <f>'Fane 11. Periodevise driftsomk.'!E30</f>
        <v>0</v>
      </c>
      <c r="D20" s="11" t="s">
        <v>3</v>
      </c>
      <c r="E20" s="1"/>
    </row>
    <row r="21" spans="1:5" ht="15" customHeight="1" x14ac:dyDescent="0.25">
      <c r="A21" s="1"/>
      <c r="B21" s="38" t="s">
        <v>93</v>
      </c>
      <c r="C21" s="32"/>
      <c r="D21" s="20"/>
      <c r="E21" s="1"/>
    </row>
    <row r="22" spans="1:5" ht="15" customHeight="1" x14ac:dyDescent="0.25">
      <c r="A22" s="1"/>
      <c r="B22" s="53" t="s">
        <v>89</v>
      </c>
      <c r="C22" s="9">
        <f>'Fane 10.2. Engangstillæg'!C38</f>
        <v>0</v>
      </c>
      <c r="D22" s="8" t="s">
        <v>3</v>
      </c>
      <c r="E22" s="1"/>
    </row>
    <row r="23" spans="1:5" ht="15" customHeight="1" x14ac:dyDescent="0.25">
      <c r="A23" s="1"/>
      <c r="B23" s="53" t="s">
        <v>90</v>
      </c>
      <c r="C23" s="9">
        <f>'Fane 10.2. Engangstillæg'!E38</f>
        <v>0</v>
      </c>
      <c r="D23" s="8" t="s">
        <v>3</v>
      </c>
      <c r="E23" s="1"/>
    </row>
    <row r="24" spans="1:5" ht="15" customHeight="1" x14ac:dyDescent="0.25">
      <c r="A24" s="1"/>
      <c r="B24" s="59" t="s">
        <v>95</v>
      </c>
      <c r="C24" s="10">
        <f>SUM(C22:C23)</f>
        <v>0</v>
      </c>
      <c r="D24" s="11" t="s">
        <v>3</v>
      </c>
      <c r="E24" s="1"/>
    </row>
    <row r="25" spans="1:5" x14ac:dyDescent="0.25">
      <c r="A25" s="1"/>
      <c r="B25" s="35" t="s">
        <v>258</v>
      </c>
      <c r="C25" s="32"/>
      <c r="D25" s="20"/>
      <c r="E25" s="1"/>
    </row>
    <row r="26" spans="1:5" x14ac:dyDescent="0.25">
      <c r="A26" s="1"/>
      <c r="B26" s="66" t="s">
        <v>259</v>
      </c>
      <c r="C26" s="10">
        <v>0</v>
      </c>
      <c r="D26" s="11" t="s">
        <v>3</v>
      </c>
      <c r="E26" s="1"/>
    </row>
    <row r="27" spans="1:5" x14ac:dyDescent="0.25">
      <c r="A27" s="1"/>
      <c r="B27" s="38" t="s">
        <v>200</v>
      </c>
      <c r="C27" s="12">
        <f>SUM(C16,C18,C20,C24,C26)</f>
        <v>66408078.120870933</v>
      </c>
      <c r="D27" s="13" t="s">
        <v>3</v>
      </c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  <row r="50" spans="1:5" x14ac:dyDescent="0.25">
      <c r="A50" s="1"/>
      <c r="B50" s="1"/>
      <c r="C50" s="1"/>
      <c r="D50" s="1"/>
      <c r="E50" s="1"/>
    </row>
    <row r="51" spans="1:5" x14ac:dyDescent="0.25">
      <c r="A51" s="1"/>
      <c r="B51" s="1"/>
      <c r="C51" s="1"/>
      <c r="D51" s="1"/>
      <c r="E51" s="1"/>
    </row>
  </sheetData>
  <sheetProtection algorithmName="SHA-512" hashValue="eG0u+BmMaIS3Uu7byKqaB6mn3+7WrKcjcg/Z4Fuc693sK7dexqMWu3bisMFUQ6ZlwVev4bQIxV9bdETUafq3KQ==" saltValue="oQ1Pn5Mqvo6gT19lHKRRCA==" spinCount="100000" sheet="1" objects="1" scenarios="1"/>
  <mergeCells count="2">
    <mergeCell ref="B3:D4"/>
    <mergeCell ref="B5:D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7"/>
  <dimension ref="A1:G50"/>
  <sheetViews>
    <sheetView showGridLines="0" view="pageLayout" zoomScaleNormal="100" workbookViewId="0"/>
  </sheetViews>
  <sheetFormatPr defaultColWidth="9.140625" defaultRowHeight="15" x14ac:dyDescent="0.25"/>
  <cols>
    <col min="1" max="1" width="7.85546875" style="2" customWidth="1"/>
    <col min="2" max="2" width="12.28515625" style="2" customWidth="1"/>
    <col min="3" max="3" width="12" style="2" customWidth="1"/>
    <col min="4" max="4" width="31.7109375" style="2" customWidth="1"/>
    <col min="5" max="5" width="10.85546875" style="2" customWidth="1"/>
    <col min="6" max="6" width="3.5703125" style="2" bestFit="1" customWidth="1"/>
    <col min="7" max="7" width="7.8554687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93" t="s">
        <v>250</v>
      </c>
      <c r="C3" s="93"/>
      <c r="D3" s="93"/>
      <c r="E3" s="93"/>
      <c r="F3" s="93"/>
      <c r="G3" s="1"/>
    </row>
    <row r="4" spans="1:7" ht="29.25" customHeight="1" x14ac:dyDescent="0.25">
      <c r="A4" s="1"/>
      <c r="B4" s="93"/>
      <c r="C4" s="93"/>
      <c r="D4" s="93"/>
      <c r="E4" s="93"/>
      <c r="F4" s="93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38" t="s">
        <v>278</v>
      </c>
      <c r="C8" s="32"/>
      <c r="D8" s="32"/>
      <c r="E8" s="32"/>
      <c r="F8" s="20"/>
      <c r="G8" s="1"/>
    </row>
    <row r="9" spans="1:7" ht="15" customHeight="1" x14ac:dyDescent="0.25">
      <c r="A9" s="1"/>
      <c r="B9" s="90" t="s">
        <v>25</v>
      </c>
      <c r="C9" s="91"/>
      <c r="D9" s="92"/>
      <c r="E9" s="7">
        <v>69409960.151802123</v>
      </c>
      <c r="F9" s="8" t="s">
        <v>3</v>
      </c>
      <c r="G9" s="1"/>
    </row>
    <row r="10" spans="1:7" ht="15" customHeight="1" x14ac:dyDescent="0.25">
      <c r="A10" s="1"/>
      <c r="B10" s="94" t="s">
        <v>43</v>
      </c>
      <c r="C10" s="95"/>
      <c r="D10" s="96"/>
      <c r="E10" s="7">
        <v>653810.34600000002</v>
      </c>
      <c r="F10" s="8" t="s">
        <v>3</v>
      </c>
      <c r="G10" s="1"/>
    </row>
    <row r="11" spans="1:7" ht="15" customHeight="1" x14ac:dyDescent="0.25">
      <c r="A11" s="1"/>
      <c r="B11" s="94" t="s">
        <v>44</v>
      </c>
      <c r="C11" s="95"/>
      <c r="D11" s="96"/>
      <c r="E11" s="9">
        <v>235997.46659999999</v>
      </c>
      <c r="F11" s="8" t="s">
        <v>3</v>
      </c>
      <c r="G11" s="1"/>
    </row>
    <row r="12" spans="1:7" ht="15" customHeight="1" x14ac:dyDescent="0.25">
      <c r="A12" s="1"/>
      <c r="B12" s="94" t="s">
        <v>29</v>
      </c>
      <c r="C12" s="95"/>
      <c r="D12" s="96"/>
      <c r="E12" s="9">
        <v>0</v>
      </c>
      <c r="F12" s="8" t="s">
        <v>3</v>
      </c>
      <c r="G12" s="1"/>
    </row>
    <row r="13" spans="1:7" ht="15" customHeight="1" x14ac:dyDescent="0.25">
      <c r="A13" s="1"/>
      <c r="B13" s="90" t="s">
        <v>28</v>
      </c>
      <c r="C13" s="91"/>
      <c r="D13" s="92"/>
      <c r="E13" s="9">
        <v>0</v>
      </c>
      <c r="F13" s="8" t="s">
        <v>3</v>
      </c>
      <c r="G13" s="1"/>
    </row>
    <row r="14" spans="1:7" ht="15" customHeight="1" x14ac:dyDescent="0.25">
      <c r="A14" s="1"/>
      <c r="B14" s="90" t="s">
        <v>31</v>
      </c>
      <c r="C14" s="91"/>
      <c r="D14" s="92"/>
      <c r="E14" s="9">
        <v>0</v>
      </c>
      <c r="F14" s="8" t="s">
        <v>3</v>
      </c>
      <c r="G14" s="1"/>
    </row>
    <row r="15" spans="1:7" ht="15" customHeight="1" x14ac:dyDescent="0.25">
      <c r="A15" s="1"/>
      <c r="B15" s="90" t="s">
        <v>30</v>
      </c>
      <c r="C15" s="91"/>
      <c r="D15" s="92"/>
      <c r="E15" s="9">
        <v>0</v>
      </c>
      <c r="F15" s="8" t="s">
        <v>3</v>
      </c>
      <c r="G15" s="1"/>
    </row>
    <row r="16" spans="1:7" ht="15" customHeight="1" x14ac:dyDescent="0.25">
      <c r="A16" s="1"/>
      <c r="B16" s="90" t="s">
        <v>20</v>
      </c>
      <c r="C16" s="91"/>
      <c r="D16" s="92"/>
      <c r="E16" s="9">
        <v>1378231.8703042218</v>
      </c>
      <c r="F16" s="8" t="s">
        <v>3</v>
      </c>
      <c r="G16" s="1"/>
    </row>
    <row r="17" spans="1:7" ht="15" customHeight="1" x14ac:dyDescent="0.25">
      <c r="A17" s="1"/>
      <c r="B17" s="90" t="s">
        <v>10</v>
      </c>
      <c r="C17" s="91"/>
      <c r="D17" s="92"/>
      <c r="E17" s="9">
        <v>-207948.89328709175</v>
      </c>
      <c r="F17" s="8" t="s">
        <v>3</v>
      </c>
      <c r="G17" s="1"/>
    </row>
    <row r="18" spans="1:7" ht="15" customHeight="1" x14ac:dyDescent="0.25">
      <c r="A18" s="1"/>
      <c r="B18" s="90" t="s">
        <v>26</v>
      </c>
      <c r="C18" s="91"/>
      <c r="D18" s="92"/>
      <c r="E18" s="9">
        <f>-'Fane 4.1. Gen. krav - drift'!G34</f>
        <v>-595286.31863764045</v>
      </c>
      <c r="F18" s="8" t="s">
        <v>3</v>
      </c>
      <c r="G18" s="1"/>
    </row>
    <row r="19" spans="1:7" ht="15" customHeight="1" x14ac:dyDescent="0.25">
      <c r="A19" s="1"/>
      <c r="B19" s="90" t="s">
        <v>27</v>
      </c>
      <c r="C19" s="91"/>
      <c r="D19" s="92"/>
      <c r="E19" s="9">
        <f>-'Fane 4.2. Gen. krav - anlæg'!G32</f>
        <v>-1263717.4365379438</v>
      </c>
      <c r="F19" s="8" t="s">
        <v>3</v>
      </c>
      <c r="G19" s="1"/>
    </row>
    <row r="20" spans="1:7" ht="15" customHeight="1" x14ac:dyDescent="0.25">
      <c r="A20" s="1"/>
      <c r="B20" s="59" t="s">
        <v>22</v>
      </c>
      <c r="C20" s="60"/>
      <c r="D20" s="67"/>
      <c r="E20" s="10">
        <f>SUM(E9:E19)</f>
        <v>69611047.186243683</v>
      </c>
      <c r="F20" s="11" t="s">
        <v>3</v>
      </c>
      <c r="G20" s="1"/>
    </row>
    <row r="21" spans="1:7" ht="15" customHeight="1" x14ac:dyDescent="0.25">
      <c r="A21" s="1"/>
      <c r="B21" s="38" t="s">
        <v>13</v>
      </c>
      <c r="C21" s="32"/>
      <c r="D21" s="32"/>
      <c r="E21" s="32"/>
      <c r="F21" s="20"/>
      <c r="G21" s="1"/>
    </row>
    <row r="22" spans="1:7" ht="15" customHeight="1" x14ac:dyDescent="0.25">
      <c r="A22" s="1"/>
      <c r="B22" s="97" t="s">
        <v>13</v>
      </c>
      <c r="C22" s="98"/>
      <c r="D22" s="99"/>
      <c r="E22" s="10">
        <v>2357447.9479840798</v>
      </c>
      <c r="F22" s="11" t="s">
        <v>3</v>
      </c>
      <c r="G22" s="1"/>
    </row>
    <row r="23" spans="1:7" ht="15" customHeight="1" x14ac:dyDescent="0.25">
      <c r="A23" s="1"/>
      <c r="B23" s="100" t="s">
        <v>94</v>
      </c>
      <c r="C23" s="101"/>
      <c r="D23" s="102"/>
      <c r="E23" s="32"/>
      <c r="F23" s="32"/>
      <c r="G23" s="1"/>
    </row>
    <row r="24" spans="1:7" ht="15" customHeight="1" x14ac:dyDescent="0.25">
      <c r="A24" s="1"/>
      <c r="B24" s="59" t="s">
        <v>94</v>
      </c>
      <c r="C24" s="43"/>
      <c r="D24" s="44"/>
      <c r="E24" s="10">
        <v>0</v>
      </c>
      <c r="F24" s="11" t="s">
        <v>3</v>
      </c>
      <c r="G24" s="1"/>
    </row>
    <row r="25" spans="1:7" x14ac:dyDescent="0.25">
      <c r="A25" s="1"/>
      <c r="B25" s="38" t="s">
        <v>93</v>
      </c>
      <c r="C25" s="32"/>
      <c r="D25" s="32"/>
      <c r="E25" s="32"/>
      <c r="F25" s="20"/>
      <c r="G25" s="1"/>
    </row>
    <row r="26" spans="1:7" ht="15" customHeight="1" x14ac:dyDescent="0.25">
      <c r="A26" s="1"/>
      <c r="B26" s="94" t="s">
        <v>89</v>
      </c>
      <c r="C26" s="95"/>
      <c r="D26" s="96"/>
      <c r="E26" s="9">
        <v>0</v>
      </c>
      <c r="F26" s="8" t="s">
        <v>3</v>
      </c>
      <c r="G26" s="1"/>
    </row>
    <row r="27" spans="1:7" ht="15" customHeight="1" x14ac:dyDescent="0.25">
      <c r="A27" s="1"/>
      <c r="B27" s="94" t="s">
        <v>90</v>
      </c>
      <c r="C27" s="95"/>
      <c r="D27" s="95"/>
      <c r="E27" s="9">
        <v>0</v>
      </c>
      <c r="F27" s="8" t="s">
        <v>3</v>
      </c>
      <c r="G27" s="1"/>
    </row>
    <row r="28" spans="1:7" ht="15" customHeight="1" x14ac:dyDescent="0.25">
      <c r="A28" s="1"/>
      <c r="B28" s="103" t="s">
        <v>95</v>
      </c>
      <c r="C28" s="104"/>
      <c r="D28" s="104"/>
      <c r="E28" s="45">
        <v>0</v>
      </c>
      <c r="F28" s="11" t="s">
        <v>3</v>
      </c>
      <c r="G28" s="1"/>
    </row>
    <row r="29" spans="1:7" ht="15" customHeight="1" x14ac:dyDescent="0.25">
      <c r="A29" s="1"/>
      <c r="B29" s="38" t="s">
        <v>187</v>
      </c>
      <c r="C29" s="38"/>
      <c r="D29" s="38"/>
      <c r="E29" s="32"/>
      <c r="F29" s="32"/>
      <c r="G29" s="1"/>
    </row>
    <row r="30" spans="1:7" ht="15" customHeight="1" x14ac:dyDescent="0.25">
      <c r="A30" s="1"/>
      <c r="B30" s="97" t="s">
        <v>185</v>
      </c>
      <c r="C30" s="98"/>
      <c r="D30" s="98"/>
      <c r="E30" s="45">
        <v>0</v>
      </c>
      <c r="F30" s="11" t="s">
        <v>3</v>
      </c>
      <c r="G30" s="1"/>
    </row>
    <row r="31" spans="1:7" x14ac:dyDescent="0.25">
      <c r="A31" s="1"/>
      <c r="B31" s="38" t="s">
        <v>148</v>
      </c>
      <c r="C31" s="32"/>
      <c r="D31" s="32"/>
      <c r="E31" s="32"/>
      <c r="F31" s="32"/>
      <c r="G31" s="1"/>
    </row>
    <row r="32" spans="1:7" ht="15.4" customHeight="1" x14ac:dyDescent="0.25">
      <c r="A32" s="1"/>
      <c r="B32" s="97" t="s">
        <v>148</v>
      </c>
      <c r="C32" s="98"/>
      <c r="D32" s="99"/>
      <c r="E32" s="10">
        <v>0</v>
      </c>
      <c r="F32" s="11" t="s">
        <v>3</v>
      </c>
      <c r="G32" s="1"/>
    </row>
    <row r="33" spans="1:7" x14ac:dyDescent="0.25">
      <c r="A33" s="1"/>
      <c r="B33" s="38" t="s">
        <v>251</v>
      </c>
      <c r="C33" s="32"/>
      <c r="D33" s="20"/>
      <c r="E33" s="12">
        <f>SUM(E32,E30,E28,E24,E22,E20)</f>
        <v>71968495.134227768</v>
      </c>
      <c r="F33" s="13" t="s">
        <v>3</v>
      </c>
      <c r="G33" s="1"/>
    </row>
    <row r="34" spans="1:7" ht="27" customHeight="1" x14ac:dyDescent="0.25">
      <c r="A34" s="1"/>
      <c r="B34" s="90" t="s">
        <v>252</v>
      </c>
      <c r="C34" s="91"/>
      <c r="D34" s="91"/>
      <c r="E34" s="91"/>
      <c r="F34" s="92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  <row r="50" spans="1:7" x14ac:dyDescent="0.25">
      <c r="A50" s="1"/>
      <c r="B50" s="1"/>
      <c r="C50" s="1"/>
      <c r="D50" s="1"/>
      <c r="E50" s="1"/>
      <c r="F50" s="1"/>
      <c r="G50" s="1"/>
    </row>
  </sheetData>
  <sheetProtection algorithmName="SHA-512" hashValue="g+bSPgbnSJfd+jznpA2sIlUNohYQqFdzqIbVIKw6yd/w/i6gRqV8YQkm2tUM/92K84D4Pxp9Y1hnPWQDVfuOYw==" saltValue="PwhLSbhy/RCkbMqtt5jFOQ==" spinCount="100000" sheet="1" objects="1" scenarios="1"/>
  <mergeCells count="20">
    <mergeCell ref="B26:D26"/>
    <mergeCell ref="B32:D32"/>
    <mergeCell ref="B22:D22"/>
    <mergeCell ref="B23:D23"/>
    <mergeCell ref="B34:F34"/>
    <mergeCell ref="B27:D27"/>
    <mergeCell ref="B28:D28"/>
    <mergeCell ref="B30:D30"/>
    <mergeCell ref="B3:F4"/>
    <mergeCell ref="B9:D9"/>
    <mergeCell ref="B10:D10"/>
    <mergeCell ref="B11:D11"/>
    <mergeCell ref="B12:D12"/>
    <mergeCell ref="B18:D18"/>
    <mergeCell ref="B19:D19"/>
    <mergeCell ref="B13:D13"/>
    <mergeCell ref="B14:D14"/>
    <mergeCell ref="B15:D15"/>
    <mergeCell ref="B16:D16"/>
    <mergeCell ref="B17:D1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8"/>
  <dimension ref="A1:I64"/>
  <sheetViews>
    <sheetView showGridLines="0" view="pageLayout" zoomScaleNormal="100" workbookViewId="0"/>
  </sheetViews>
  <sheetFormatPr defaultColWidth="9.140625" defaultRowHeight="15" x14ac:dyDescent="0.25"/>
  <cols>
    <col min="1" max="1" width="6.140625" style="2" customWidth="1"/>
    <col min="2" max="5" width="9.140625" style="2"/>
    <col min="6" max="6" width="23.28515625" style="2" customWidth="1"/>
    <col min="7" max="7" width="10.28515625" style="2" customWidth="1"/>
    <col min="8" max="8" width="4.28515625" style="2" customWidth="1"/>
    <col min="9" max="9" width="6.7109375" style="2" customWidth="1"/>
    <col min="10" max="16384" width="9.140625" style="2"/>
  </cols>
  <sheetData>
    <row r="1" spans="1:9" ht="15" customHeight="1" x14ac:dyDescent="0.25">
      <c r="A1" s="1"/>
      <c r="B1" s="42"/>
      <c r="C1" s="42"/>
      <c r="D1" s="42"/>
      <c r="E1" s="42"/>
      <c r="F1" s="42"/>
      <c r="G1" s="42"/>
      <c r="H1" s="42"/>
      <c r="I1" s="1"/>
    </row>
    <row r="2" spans="1:9" ht="15" customHeight="1" x14ac:dyDescent="0.25">
      <c r="A2" s="1"/>
      <c r="B2" s="93" t="s">
        <v>130</v>
      </c>
      <c r="C2" s="93"/>
      <c r="D2" s="93"/>
      <c r="E2" s="93"/>
      <c r="F2" s="93"/>
      <c r="G2" s="93"/>
      <c r="H2" s="93"/>
      <c r="I2" s="1"/>
    </row>
    <row r="3" spans="1:9" ht="28.5" customHeight="1" x14ac:dyDescent="0.25">
      <c r="A3" s="1"/>
      <c r="B3" s="93"/>
      <c r="C3" s="93"/>
      <c r="D3" s="93"/>
      <c r="E3" s="93"/>
      <c r="F3" s="93"/>
      <c r="G3" s="93"/>
      <c r="H3" s="93"/>
      <c r="I3" s="1"/>
    </row>
    <row r="4" spans="1:9" ht="14.25" customHeight="1" x14ac:dyDescent="0.25">
      <c r="A4" s="1"/>
      <c r="B4" s="42"/>
      <c r="C4" s="42"/>
      <c r="D4" s="42"/>
      <c r="E4" s="42"/>
      <c r="F4" s="42"/>
      <c r="G4" s="42"/>
      <c r="H4" s="42"/>
      <c r="I4" s="1"/>
    </row>
    <row r="5" spans="1:9" x14ac:dyDescent="0.25">
      <c r="A5" s="1"/>
      <c r="B5" s="100" t="s">
        <v>56</v>
      </c>
      <c r="C5" s="101"/>
      <c r="D5" s="101"/>
      <c r="E5" s="101"/>
      <c r="F5" s="101"/>
      <c r="G5" s="101"/>
      <c r="H5" s="102"/>
      <c r="I5" s="1"/>
    </row>
    <row r="6" spans="1:9" x14ac:dyDescent="0.25">
      <c r="A6" s="1"/>
      <c r="B6" s="105" t="s">
        <v>45</v>
      </c>
      <c r="C6" s="106"/>
      <c r="D6" s="106"/>
      <c r="E6" s="106"/>
      <c r="F6" s="107"/>
      <c r="G6" s="24">
        <v>29309793.252214681</v>
      </c>
      <c r="H6" s="14" t="s">
        <v>3</v>
      </c>
      <c r="I6" s="1"/>
    </row>
    <row r="7" spans="1:9" x14ac:dyDescent="0.25">
      <c r="A7" s="1"/>
      <c r="B7" s="90" t="s">
        <v>145</v>
      </c>
      <c r="C7" s="91"/>
      <c r="D7" s="91"/>
      <c r="E7" s="91"/>
      <c r="F7" s="92"/>
      <c r="G7" s="69">
        <v>0</v>
      </c>
      <c r="H7" s="14" t="s">
        <v>3</v>
      </c>
      <c r="I7" s="1"/>
    </row>
    <row r="8" spans="1:9" x14ac:dyDescent="0.25">
      <c r="A8" s="1"/>
      <c r="B8" s="105" t="s">
        <v>46</v>
      </c>
      <c r="C8" s="106"/>
      <c r="D8" s="106"/>
      <c r="E8" s="106"/>
      <c r="F8" s="107"/>
      <c r="G8" s="24">
        <f>SUM(G6:G7)*'Fane 14. Nøgletal'!C29</f>
        <v>586195.86504429369</v>
      </c>
      <c r="H8" s="14" t="s">
        <v>3</v>
      </c>
      <c r="I8" s="1"/>
    </row>
    <row r="9" spans="1:9" x14ac:dyDescent="0.25">
      <c r="A9" s="1"/>
      <c r="B9" s="38"/>
      <c r="C9" s="32"/>
      <c r="D9" s="32"/>
      <c r="E9" s="32"/>
      <c r="F9" s="32"/>
      <c r="G9" s="32"/>
      <c r="H9" s="20"/>
      <c r="I9" s="1"/>
    </row>
    <row r="10" spans="1:9" x14ac:dyDescent="0.25">
      <c r="A10" s="1"/>
      <c r="B10" s="1"/>
      <c r="C10" s="1"/>
      <c r="D10" s="1"/>
      <c r="E10" s="1"/>
      <c r="F10" s="1"/>
      <c r="G10" s="1"/>
      <c r="H10" s="1"/>
      <c r="I10" s="1"/>
    </row>
    <row r="11" spans="1:9" x14ac:dyDescent="0.25">
      <c r="A11" s="1"/>
      <c r="B11" s="100" t="s">
        <v>57</v>
      </c>
      <c r="C11" s="101"/>
      <c r="D11" s="101"/>
      <c r="E11" s="101"/>
      <c r="F11" s="101"/>
      <c r="G11" s="101"/>
      <c r="H11" s="102"/>
      <c r="I11" s="1"/>
    </row>
    <row r="12" spans="1:9" x14ac:dyDescent="0.25">
      <c r="A12" s="1"/>
      <c r="B12" s="105" t="s">
        <v>47</v>
      </c>
      <c r="C12" s="106"/>
      <c r="D12" s="106"/>
      <c r="E12" s="106"/>
      <c r="F12" s="107"/>
      <c r="G12" s="24">
        <f>(G6-G8)*(1+'Fane 14. Nøgletal'!C10)</f>
        <v>29226260.341445874</v>
      </c>
      <c r="H12" s="14" t="s">
        <v>3</v>
      </c>
      <c r="I12" s="1"/>
    </row>
    <row r="13" spans="1:9" ht="15" customHeight="1" x14ac:dyDescent="0.25">
      <c r="A13" s="1"/>
      <c r="B13" s="105" t="s">
        <v>146</v>
      </c>
      <c r="C13" s="106"/>
      <c r="D13" s="106"/>
      <c r="E13" s="106"/>
      <c r="F13" s="107"/>
      <c r="G13" s="69">
        <v>0</v>
      </c>
      <c r="H13" s="14" t="s">
        <v>3</v>
      </c>
      <c r="I13" s="1"/>
    </row>
    <row r="14" spans="1:9" x14ac:dyDescent="0.25">
      <c r="A14" s="1"/>
      <c r="B14" s="90" t="s">
        <v>143</v>
      </c>
      <c r="C14" s="91"/>
      <c r="D14" s="91"/>
      <c r="E14" s="91"/>
      <c r="F14" s="92"/>
      <c r="G14" s="69">
        <v>0</v>
      </c>
      <c r="H14" s="14" t="s">
        <v>3</v>
      </c>
      <c r="I14" s="1"/>
    </row>
    <row r="15" spans="1:9" x14ac:dyDescent="0.25">
      <c r="A15" s="1"/>
      <c r="B15" s="111" t="s">
        <v>48</v>
      </c>
      <c r="C15" s="112"/>
      <c r="D15" s="112"/>
      <c r="E15" s="112"/>
      <c r="F15" s="113"/>
      <c r="G15" s="69">
        <v>0</v>
      </c>
      <c r="H15" s="14" t="s">
        <v>3</v>
      </c>
      <c r="I15" s="1"/>
    </row>
    <row r="16" spans="1:9" x14ac:dyDescent="0.25">
      <c r="A16" s="1"/>
      <c r="B16" s="105" t="s">
        <v>49</v>
      </c>
      <c r="C16" s="106"/>
      <c r="D16" s="106"/>
      <c r="E16" s="106"/>
      <c r="F16" s="107"/>
      <c r="G16" s="24">
        <f>SUM(G12:G15)*'Fane 14. Nøgletal'!C29</f>
        <v>584525.20682891749</v>
      </c>
      <c r="H16" s="14" t="s">
        <v>3</v>
      </c>
      <c r="I16" s="1"/>
    </row>
    <row r="17" spans="1:9" x14ac:dyDescent="0.25">
      <c r="A17" s="1"/>
      <c r="B17" s="38"/>
      <c r="C17" s="32"/>
      <c r="D17" s="32"/>
      <c r="E17" s="32"/>
      <c r="F17" s="32"/>
      <c r="G17" s="32"/>
      <c r="H17" s="20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00" t="s">
        <v>58</v>
      </c>
      <c r="C19" s="101"/>
      <c r="D19" s="101"/>
      <c r="E19" s="101"/>
      <c r="F19" s="101"/>
      <c r="G19" s="101"/>
      <c r="H19" s="102"/>
      <c r="I19" s="1"/>
    </row>
    <row r="20" spans="1:9" x14ac:dyDescent="0.25">
      <c r="A20" s="1"/>
      <c r="B20" s="105" t="s">
        <v>50</v>
      </c>
      <c r="C20" s="106"/>
      <c r="D20" s="106"/>
      <c r="E20" s="106"/>
      <c r="F20" s="107"/>
      <c r="G20" s="24">
        <f>(SUM(G12:G13,G15)-(G16))*(1+'Fane 14. Nøgletal'!C10)</f>
        <v>29142965.499472756</v>
      </c>
      <c r="H20" s="14" t="s">
        <v>3</v>
      </c>
      <c r="I20" s="1"/>
    </row>
    <row r="21" spans="1:9" x14ac:dyDescent="0.25">
      <c r="A21" s="1"/>
      <c r="B21" s="111" t="s">
        <v>51</v>
      </c>
      <c r="C21" s="112"/>
      <c r="D21" s="112"/>
      <c r="E21" s="112"/>
      <c r="F21" s="113"/>
      <c r="G21" s="69">
        <v>0</v>
      </c>
      <c r="H21" s="14" t="s">
        <v>3</v>
      </c>
      <c r="I21" s="1"/>
    </row>
    <row r="22" spans="1:9" x14ac:dyDescent="0.25">
      <c r="A22" s="1"/>
      <c r="B22" s="105" t="s">
        <v>52</v>
      </c>
      <c r="C22" s="106"/>
      <c r="D22" s="106"/>
      <c r="E22" s="106"/>
      <c r="F22" s="107"/>
      <c r="G22" s="24">
        <f>SUM(G20:G21)*'Fane 14. Nøgletal'!C29</f>
        <v>582859.30998945516</v>
      </c>
      <c r="H22" s="14" t="s">
        <v>3</v>
      </c>
      <c r="I22" s="1"/>
    </row>
    <row r="23" spans="1:9" x14ac:dyDescent="0.25">
      <c r="A23" s="1"/>
      <c r="B23" s="38"/>
      <c r="C23" s="32"/>
      <c r="D23" s="32"/>
      <c r="E23" s="32"/>
      <c r="F23" s="32"/>
      <c r="G23" s="32"/>
      <c r="H23" s="20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100" t="s">
        <v>59</v>
      </c>
      <c r="C25" s="101"/>
      <c r="D25" s="101"/>
      <c r="E25" s="101"/>
      <c r="F25" s="101"/>
      <c r="G25" s="101"/>
      <c r="H25" s="102"/>
      <c r="I25" s="1"/>
    </row>
    <row r="26" spans="1:9" x14ac:dyDescent="0.25">
      <c r="A26" s="1"/>
      <c r="B26" s="105" t="s">
        <v>53</v>
      </c>
      <c r="C26" s="106"/>
      <c r="D26" s="106"/>
      <c r="E26" s="106"/>
      <c r="F26" s="107"/>
      <c r="G26" s="24">
        <f>(G20+G21-G22)*(1+'Fane 14. Nøgletal'!C12)</f>
        <v>29122740.281416122</v>
      </c>
      <c r="H26" s="14" t="s">
        <v>3</v>
      </c>
      <c r="I26" s="1"/>
    </row>
    <row r="27" spans="1:9" x14ac:dyDescent="0.25">
      <c r="A27" s="1"/>
      <c r="B27" s="111" t="s">
        <v>54</v>
      </c>
      <c r="C27" s="112"/>
      <c r="D27" s="112"/>
      <c r="E27" s="112"/>
      <c r="F27" s="113"/>
      <c r="G27" s="69">
        <v>0</v>
      </c>
      <c r="H27" s="14" t="s">
        <v>3</v>
      </c>
      <c r="I27" s="1"/>
    </row>
    <row r="28" spans="1:9" x14ac:dyDescent="0.25">
      <c r="A28" s="1"/>
      <c r="B28" s="105" t="s">
        <v>55</v>
      </c>
      <c r="C28" s="106"/>
      <c r="D28" s="106"/>
      <c r="E28" s="106"/>
      <c r="F28" s="107"/>
      <c r="G28" s="24">
        <f>(G26+G27)*'Fane 14. Nøgletal'!C29</f>
        <v>582454.80562832241</v>
      </c>
      <c r="H28" s="14" t="s">
        <v>3</v>
      </c>
      <c r="I28" s="1"/>
    </row>
    <row r="29" spans="1:9" x14ac:dyDescent="0.25">
      <c r="A29" s="1"/>
      <c r="B29" s="38"/>
      <c r="C29" s="32"/>
      <c r="D29" s="32"/>
      <c r="E29" s="32"/>
      <c r="F29" s="32"/>
      <c r="G29" s="32"/>
      <c r="H29" s="20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00" t="s">
        <v>62</v>
      </c>
      <c r="C31" s="101"/>
      <c r="D31" s="101"/>
      <c r="E31" s="101"/>
      <c r="F31" s="101"/>
      <c r="G31" s="101"/>
      <c r="H31" s="102"/>
      <c r="I31" s="1"/>
    </row>
    <row r="32" spans="1:9" x14ac:dyDescent="0.25">
      <c r="A32" s="1"/>
      <c r="B32" s="105" t="s">
        <v>63</v>
      </c>
      <c r="C32" s="106"/>
      <c r="D32" s="106"/>
      <c r="E32" s="106"/>
      <c r="F32" s="107"/>
      <c r="G32" s="24">
        <f>(G26+G27-G28)*(1+'Fane 14. Nøgletal'!C12)</f>
        <v>29102529.099660821</v>
      </c>
      <c r="H32" s="14" t="s">
        <v>3</v>
      </c>
      <c r="I32" s="1"/>
    </row>
    <row r="33" spans="1:9" x14ac:dyDescent="0.25">
      <c r="A33" s="1"/>
      <c r="B33" s="105" t="s">
        <v>171</v>
      </c>
      <c r="C33" s="106"/>
      <c r="D33" s="106"/>
      <c r="E33" s="106"/>
      <c r="F33" s="107"/>
      <c r="G33" s="24">
        <v>661786.83222119999</v>
      </c>
      <c r="H33" s="14" t="s">
        <v>3</v>
      </c>
      <c r="I33" s="1"/>
    </row>
    <row r="34" spans="1:9" x14ac:dyDescent="0.25">
      <c r="A34" s="1"/>
      <c r="B34" s="105" t="s">
        <v>64</v>
      </c>
      <c r="C34" s="106"/>
      <c r="D34" s="106"/>
      <c r="E34" s="106"/>
      <c r="F34" s="107"/>
      <c r="G34" s="24">
        <f>(G32+G33)*'Fane 14. Nøgletal'!C29</f>
        <v>595286.31863764045</v>
      </c>
      <c r="H34" s="14" t="s">
        <v>3</v>
      </c>
      <c r="I34" s="1"/>
    </row>
    <row r="35" spans="1:9" x14ac:dyDescent="0.25">
      <c r="A35" s="1"/>
      <c r="B35" s="38"/>
      <c r="C35" s="32"/>
      <c r="D35" s="32"/>
      <c r="E35" s="32"/>
      <c r="F35" s="32"/>
      <c r="G35" s="32"/>
      <c r="H35" s="20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00" t="s">
        <v>232</v>
      </c>
      <c r="C37" s="101"/>
      <c r="D37" s="101"/>
      <c r="E37" s="101"/>
      <c r="F37" s="101"/>
      <c r="G37" s="101"/>
      <c r="H37" s="102"/>
      <c r="I37" s="1"/>
    </row>
    <row r="38" spans="1:9" x14ac:dyDescent="0.25">
      <c r="A38" s="1"/>
      <c r="B38" s="105" t="s">
        <v>84</v>
      </c>
      <c r="C38" s="106"/>
      <c r="D38" s="106"/>
      <c r="E38" s="106"/>
      <c r="F38" s="107"/>
      <c r="G38" s="24">
        <f>(G32+G33-G34)*(1+'Fane 14. Nøgletal'!C14)</f>
        <v>29265287.410968091</v>
      </c>
      <c r="H38" s="14" t="s">
        <v>3</v>
      </c>
      <c r="I38" s="1"/>
    </row>
    <row r="39" spans="1:9" x14ac:dyDescent="0.25">
      <c r="A39" s="1"/>
      <c r="B39" s="105" t="s">
        <v>236</v>
      </c>
      <c r="C39" s="106"/>
      <c r="D39" s="106"/>
      <c r="E39" s="106"/>
      <c r="F39" s="107"/>
      <c r="G39" s="24">
        <f>SUM('Fane 2.1. Økonomisk ramme 2022'!C10,'Fane 2.1. Økonomisk ramme 2022'!C12,'Fane 2.1. Økonomisk ramme 2022'!C14)*(1+'Fane 14. Nøgletal'!C14)</f>
        <v>51837.441002330008</v>
      </c>
      <c r="H39" s="14" t="s">
        <v>3</v>
      </c>
      <c r="I39" s="1"/>
    </row>
    <row r="40" spans="1:9" x14ac:dyDescent="0.25">
      <c r="A40" s="1"/>
      <c r="B40" s="105" t="s">
        <v>234</v>
      </c>
      <c r="C40" s="106"/>
      <c r="D40" s="106"/>
      <c r="E40" s="106"/>
      <c r="F40" s="107"/>
      <c r="G40" s="24">
        <f>(G38+G39)*'Fane 14. Nøgletal'!C29</f>
        <v>586342.49703940842</v>
      </c>
      <c r="H40" s="14" t="s">
        <v>3</v>
      </c>
      <c r="I40" s="1"/>
    </row>
    <row r="41" spans="1:9" x14ac:dyDescent="0.25">
      <c r="A41" s="1"/>
      <c r="B41" s="38"/>
      <c r="C41" s="32"/>
      <c r="D41" s="32"/>
      <c r="E41" s="32"/>
      <c r="F41" s="32"/>
      <c r="G41" s="32"/>
      <c r="H41" s="20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00" t="s">
        <v>233</v>
      </c>
      <c r="C43" s="101"/>
      <c r="D43" s="101"/>
      <c r="E43" s="101"/>
      <c r="F43" s="101"/>
      <c r="G43" s="101"/>
      <c r="H43" s="102"/>
      <c r="I43" s="1"/>
    </row>
    <row r="44" spans="1:9" x14ac:dyDescent="0.25">
      <c r="A44" s="1"/>
      <c r="B44" s="105" t="s">
        <v>83</v>
      </c>
      <c r="C44" s="106"/>
      <c r="D44" s="106"/>
      <c r="E44" s="106"/>
      <c r="F44" s="107"/>
      <c r="G44" s="24">
        <f>(G38+G39-G40)*(1+'Fane 14. Nøgletal'!C14)</f>
        <v>28825593.936702289</v>
      </c>
      <c r="H44" s="14" t="s">
        <v>3</v>
      </c>
      <c r="I44" s="1"/>
    </row>
    <row r="45" spans="1:9" x14ac:dyDescent="0.25">
      <c r="A45" s="1"/>
      <c r="B45" s="108" t="s">
        <v>237</v>
      </c>
      <c r="C45" s="109"/>
      <c r="D45" s="109"/>
      <c r="E45" s="109"/>
      <c r="F45" s="110"/>
      <c r="G45" s="24">
        <f>G39*(1+'Fane 14. Nøgletal'!C14)</f>
        <v>52008.504557637702</v>
      </c>
      <c r="H45" s="14" t="s">
        <v>3</v>
      </c>
      <c r="I45" s="1"/>
    </row>
    <row r="46" spans="1:9" x14ac:dyDescent="0.25">
      <c r="A46" s="1"/>
      <c r="B46" s="105" t="s">
        <v>97</v>
      </c>
      <c r="C46" s="106"/>
      <c r="D46" s="106"/>
      <c r="E46" s="106"/>
      <c r="F46" s="107"/>
      <c r="G46" s="69">
        <f>-'Fane 13. Bortfald'!C18*(1+'Fane 14. Nøgletal'!C14)</f>
        <v>0</v>
      </c>
      <c r="H46" s="14" t="s">
        <v>3</v>
      </c>
      <c r="I46" s="1"/>
    </row>
    <row r="47" spans="1:9" x14ac:dyDescent="0.25">
      <c r="A47" s="1"/>
      <c r="B47" s="105" t="s">
        <v>235</v>
      </c>
      <c r="C47" s="106"/>
      <c r="D47" s="106"/>
      <c r="E47" s="106"/>
      <c r="F47" s="107"/>
      <c r="G47" s="24">
        <f>(G44+G46)*'Fane 14. Nøgletal'!C29</f>
        <v>576511.87873404578</v>
      </c>
      <c r="H47" s="14" t="s">
        <v>3</v>
      </c>
      <c r="I47" s="1"/>
    </row>
    <row r="48" spans="1:9" x14ac:dyDescent="0.25">
      <c r="A48" s="1"/>
      <c r="B48" s="38"/>
      <c r="C48" s="32"/>
      <c r="D48" s="32"/>
      <c r="E48" s="32"/>
      <c r="F48" s="32"/>
      <c r="G48" s="32"/>
      <c r="H48" s="20"/>
      <c r="I48" s="1"/>
    </row>
    <row r="49" spans="1:9" x14ac:dyDescent="0.25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25">
      <c r="A50" s="1"/>
      <c r="B50" s="1"/>
      <c r="C50" s="1"/>
      <c r="D50" s="1"/>
      <c r="E50" s="1"/>
      <c r="F50" s="1"/>
      <c r="G50" s="1"/>
      <c r="H50" s="1"/>
      <c r="I50" s="1"/>
    </row>
    <row r="51" spans="1:9" x14ac:dyDescent="0.25">
      <c r="A51" s="1"/>
      <c r="B51" s="1"/>
      <c r="C51" s="1"/>
      <c r="D51" s="1"/>
      <c r="E51" s="1"/>
      <c r="F51" s="1"/>
      <c r="G51" s="1"/>
      <c r="H51" s="1"/>
      <c r="I51" s="1"/>
    </row>
    <row r="52" spans="1:9" x14ac:dyDescent="0.25">
      <c r="A52" s="1"/>
      <c r="B52" s="100" t="s">
        <v>172</v>
      </c>
      <c r="C52" s="101"/>
      <c r="D52" s="101"/>
      <c r="E52" s="101"/>
      <c r="F52" s="101"/>
      <c r="G52" s="101"/>
      <c r="H52" s="102"/>
      <c r="I52" s="1"/>
    </row>
    <row r="53" spans="1:9" x14ac:dyDescent="0.25">
      <c r="A53" s="1"/>
      <c r="B53" s="105" t="s">
        <v>173</v>
      </c>
      <c r="C53" s="106"/>
      <c r="D53" s="106"/>
      <c r="E53" s="106"/>
      <c r="F53" s="107"/>
      <c r="G53" s="24">
        <f>(G44+G46-G47)*(1+'Fane 14. Nøgletal'!C14)</f>
        <v>28342304.028759543</v>
      </c>
      <c r="H53" s="14" t="s">
        <v>3</v>
      </c>
      <c r="I53" s="1"/>
    </row>
    <row r="54" spans="1:9" x14ac:dyDescent="0.25">
      <c r="A54" s="1"/>
      <c r="B54" s="105" t="s">
        <v>174</v>
      </c>
      <c r="C54" s="106"/>
      <c r="D54" s="106"/>
      <c r="E54" s="106"/>
      <c r="F54" s="107"/>
      <c r="G54" s="69">
        <f>-'Fane 13. Bortfald'!C24*(1+'Fane 14. Nøgletal'!C14)</f>
        <v>0</v>
      </c>
      <c r="H54" s="14" t="s">
        <v>3</v>
      </c>
      <c r="I54" s="1"/>
    </row>
    <row r="55" spans="1:9" x14ac:dyDescent="0.25">
      <c r="A55" s="1"/>
      <c r="B55" s="105" t="s">
        <v>175</v>
      </c>
      <c r="C55" s="106"/>
      <c r="D55" s="106"/>
      <c r="E55" s="106"/>
      <c r="F55" s="107"/>
      <c r="G55" s="24">
        <f>(G53+G54)*'Fane 14. Nøgletal'!C29</f>
        <v>566846.08057519083</v>
      </c>
      <c r="H55" s="14" t="s">
        <v>3</v>
      </c>
      <c r="I55" s="1"/>
    </row>
    <row r="56" spans="1:9" x14ac:dyDescent="0.25">
      <c r="A56" s="1"/>
      <c r="B56" s="38"/>
      <c r="C56" s="32"/>
      <c r="D56" s="32"/>
      <c r="E56" s="32"/>
      <c r="F56" s="32"/>
      <c r="G56" s="32"/>
      <c r="H56" s="20"/>
      <c r="I56" s="1"/>
    </row>
    <row r="57" spans="1:9" x14ac:dyDescent="0.25">
      <c r="A57" s="1"/>
      <c r="B57" s="1"/>
      <c r="C57" s="1"/>
      <c r="D57" s="1"/>
      <c r="E57" s="1"/>
      <c r="F57" s="1"/>
      <c r="G57" s="1"/>
      <c r="H57" s="1"/>
      <c r="I57" s="1"/>
    </row>
    <row r="58" spans="1:9" x14ac:dyDescent="0.25">
      <c r="A58" s="1"/>
      <c r="B58" s="56" t="s">
        <v>201</v>
      </c>
      <c r="C58" s="57"/>
      <c r="D58" s="57"/>
      <c r="E58" s="57"/>
      <c r="F58" s="57"/>
      <c r="G58" s="57"/>
      <c r="H58" s="58"/>
      <c r="I58" s="1"/>
    </row>
    <row r="59" spans="1:9" x14ac:dyDescent="0.25">
      <c r="A59" s="1"/>
      <c r="B59" s="62" t="s">
        <v>202</v>
      </c>
      <c r="C59" s="63"/>
      <c r="D59" s="63"/>
      <c r="E59" s="63"/>
      <c r="F59" s="64"/>
      <c r="G59" s="24">
        <f>(G53+G54-G55)*(1+'Fane 14. Nøgletal'!C14)</f>
        <v>27867116.959413365</v>
      </c>
      <c r="H59" s="14" t="s">
        <v>3</v>
      </c>
      <c r="I59" s="1"/>
    </row>
    <row r="60" spans="1:9" x14ac:dyDescent="0.25">
      <c r="A60" s="1"/>
      <c r="B60" s="62" t="s">
        <v>203</v>
      </c>
      <c r="C60" s="63"/>
      <c r="D60" s="63"/>
      <c r="E60" s="63"/>
      <c r="F60" s="64"/>
      <c r="G60" s="69">
        <f>-'Fane 13. Bortfald'!C30*(1+'Fane 14. Nøgletal'!C14)</f>
        <v>0</v>
      </c>
      <c r="H60" s="14" t="s">
        <v>3</v>
      </c>
      <c r="I60" s="1"/>
    </row>
    <row r="61" spans="1:9" x14ac:dyDescent="0.25">
      <c r="A61" s="1"/>
      <c r="B61" s="62" t="s">
        <v>204</v>
      </c>
      <c r="C61" s="63"/>
      <c r="D61" s="63"/>
      <c r="E61" s="63"/>
      <c r="F61" s="64"/>
      <c r="G61" s="24">
        <f>(G59+G60)*'Fane 14. Nøgletal'!C29</f>
        <v>557342.33918826724</v>
      </c>
      <c r="H61" s="14" t="s">
        <v>3</v>
      </c>
      <c r="I61" s="1"/>
    </row>
    <row r="62" spans="1:9" x14ac:dyDescent="0.25">
      <c r="A62" s="1"/>
      <c r="B62" s="38"/>
      <c r="C62" s="32"/>
      <c r="D62" s="32"/>
      <c r="E62" s="32"/>
      <c r="F62" s="32"/>
      <c r="G62" s="32"/>
      <c r="H62" s="20"/>
      <c r="I62" s="1"/>
    </row>
    <row r="63" spans="1:9" x14ac:dyDescent="0.25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25">
      <c r="A64" s="1"/>
      <c r="B64" s="1"/>
      <c r="C64" s="1"/>
      <c r="D64" s="1"/>
      <c r="E64" s="1"/>
      <c r="F64" s="1"/>
      <c r="G64" s="1"/>
      <c r="H64" s="1"/>
      <c r="I64" s="1"/>
    </row>
  </sheetData>
  <sheetProtection algorithmName="SHA-512" hashValue="7QDk3eX6Buz80lUZRpm6aeYjNwKR1DgPNWVaqiin/O2dHoYpqbRa3RD/LdcJJ9emtVjLo2wMHWpL8LgWoRZDpw==" saltValue="/XDsr/aceNa877zJh0mxeg==" spinCount="100000" sheet="1" objects="1" scenarios="1"/>
  <mergeCells count="36">
    <mergeCell ref="B12:F12"/>
    <mergeCell ref="B11:H11"/>
    <mergeCell ref="B7:F7"/>
    <mergeCell ref="B2:H3"/>
    <mergeCell ref="B25:H25"/>
    <mergeCell ref="B5:H5"/>
    <mergeCell ref="B6:F6"/>
    <mergeCell ref="B8:F8"/>
    <mergeCell ref="B55:F55"/>
    <mergeCell ref="B13:F13"/>
    <mergeCell ref="B14:F14"/>
    <mergeCell ref="B31:H31"/>
    <mergeCell ref="B32:F32"/>
    <mergeCell ref="B37:H37"/>
    <mergeCell ref="B19:H19"/>
    <mergeCell ref="B15:F15"/>
    <mergeCell ref="B16:F16"/>
    <mergeCell ref="B20:F20"/>
    <mergeCell ref="B21:F21"/>
    <mergeCell ref="B22:F22"/>
    <mergeCell ref="B26:F26"/>
    <mergeCell ref="B27:F27"/>
    <mergeCell ref="B28:F28"/>
    <mergeCell ref="B38:F38"/>
    <mergeCell ref="B52:H52"/>
    <mergeCell ref="B53:F53"/>
    <mergeCell ref="B54:F54"/>
    <mergeCell ref="B33:F33"/>
    <mergeCell ref="B34:F34"/>
    <mergeCell ref="B43:H43"/>
    <mergeCell ref="B44:F44"/>
    <mergeCell ref="B47:F47"/>
    <mergeCell ref="B39:F39"/>
    <mergeCell ref="B46:F46"/>
    <mergeCell ref="B40:F40"/>
    <mergeCell ref="B45:F4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9"/>
  <dimension ref="A1:I64"/>
  <sheetViews>
    <sheetView showGridLines="0" view="pageLayout" zoomScaleNormal="100" workbookViewId="0"/>
  </sheetViews>
  <sheetFormatPr defaultColWidth="9.140625" defaultRowHeight="15" x14ac:dyDescent="0.25"/>
  <cols>
    <col min="1" max="1" width="6.140625" style="2" customWidth="1"/>
    <col min="2" max="5" width="9.140625" style="2"/>
    <col min="6" max="6" width="23.28515625" style="2" customWidth="1"/>
    <col min="7" max="7" width="10.28515625" style="2" customWidth="1"/>
    <col min="8" max="8" width="4.28515625" style="2" customWidth="1"/>
    <col min="9" max="9" width="6.7109375" style="2" customWidth="1"/>
    <col min="10" max="16384" width="9.140625" style="2"/>
  </cols>
  <sheetData>
    <row r="1" spans="1:9" ht="14.25" customHeight="1" x14ac:dyDescent="0.25">
      <c r="A1" s="1"/>
      <c r="B1" s="114" t="s">
        <v>131</v>
      </c>
      <c r="C1" s="114"/>
      <c r="D1" s="114"/>
      <c r="E1" s="114"/>
      <c r="F1" s="114"/>
      <c r="G1" s="114"/>
      <c r="H1" s="114"/>
      <c r="I1" s="1"/>
    </row>
    <row r="2" spans="1:9" ht="15" customHeight="1" x14ac:dyDescent="0.25">
      <c r="A2" s="1"/>
      <c r="B2" s="114"/>
      <c r="C2" s="114"/>
      <c r="D2" s="114"/>
      <c r="E2" s="114"/>
      <c r="F2" s="114"/>
      <c r="G2" s="114"/>
      <c r="H2" s="114"/>
      <c r="I2" s="1"/>
    </row>
    <row r="3" spans="1:9" ht="24.75" customHeight="1" x14ac:dyDescent="0.25">
      <c r="A3" s="1"/>
      <c r="B3" s="114"/>
      <c r="C3" s="114"/>
      <c r="D3" s="114"/>
      <c r="E3" s="114"/>
      <c r="F3" s="114"/>
      <c r="G3" s="114"/>
      <c r="H3" s="114"/>
      <c r="I3" s="1"/>
    </row>
    <row r="4" spans="1:9" ht="15" customHeight="1" x14ac:dyDescent="0.35">
      <c r="A4" s="1"/>
      <c r="B4" s="49"/>
      <c r="C4" s="49"/>
      <c r="D4" s="49"/>
      <c r="E4" s="49"/>
      <c r="F4" s="49"/>
      <c r="G4" s="49"/>
      <c r="H4" s="49"/>
      <c r="I4" s="1"/>
    </row>
    <row r="5" spans="1:9" x14ac:dyDescent="0.25">
      <c r="A5" s="1"/>
      <c r="B5" s="100" t="s">
        <v>60</v>
      </c>
      <c r="C5" s="101"/>
      <c r="D5" s="101"/>
      <c r="E5" s="101"/>
      <c r="F5" s="101"/>
      <c r="G5" s="101"/>
      <c r="H5" s="102"/>
      <c r="I5" s="1"/>
    </row>
    <row r="6" spans="1:9" x14ac:dyDescent="0.25">
      <c r="A6" s="1"/>
      <c r="B6" s="105" t="s">
        <v>65</v>
      </c>
      <c r="C6" s="106"/>
      <c r="D6" s="106"/>
      <c r="E6" s="106"/>
      <c r="F6" s="107"/>
      <c r="G6" s="24">
        <v>42856518.270092063</v>
      </c>
      <c r="H6" s="14" t="s">
        <v>3</v>
      </c>
      <c r="I6" s="1"/>
    </row>
    <row r="7" spans="1:9" x14ac:dyDescent="0.25">
      <c r="A7" s="1"/>
      <c r="B7" s="105" t="s">
        <v>61</v>
      </c>
      <c r="C7" s="106"/>
      <c r="D7" s="106"/>
      <c r="E7" s="106"/>
      <c r="F7" s="107"/>
      <c r="G7" s="24">
        <f>G6*'Fane 14. Nøgletal'!C19</f>
        <v>389994.31625783781</v>
      </c>
      <c r="H7" s="14" t="s">
        <v>3</v>
      </c>
      <c r="I7" s="1"/>
    </row>
    <row r="8" spans="1:9" x14ac:dyDescent="0.25">
      <c r="A8" s="1"/>
      <c r="B8" s="38"/>
      <c r="C8" s="32"/>
      <c r="D8" s="32"/>
      <c r="E8" s="32"/>
      <c r="F8" s="32"/>
      <c r="G8" s="32"/>
      <c r="H8" s="20"/>
      <c r="I8" s="1"/>
    </row>
    <row r="9" spans="1:9" x14ac:dyDescent="0.25">
      <c r="A9" s="1"/>
      <c r="B9" s="1"/>
      <c r="C9" s="1"/>
      <c r="D9" s="1"/>
      <c r="E9" s="1"/>
      <c r="F9" s="1"/>
      <c r="G9" s="1"/>
      <c r="H9" s="1"/>
      <c r="I9" s="1"/>
    </row>
    <row r="10" spans="1:9" x14ac:dyDescent="0.25">
      <c r="A10" s="1"/>
      <c r="B10" s="100" t="s">
        <v>66</v>
      </c>
      <c r="C10" s="101"/>
      <c r="D10" s="101"/>
      <c r="E10" s="101"/>
      <c r="F10" s="101"/>
      <c r="G10" s="101"/>
      <c r="H10" s="102"/>
      <c r="I10" s="1"/>
    </row>
    <row r="11" spans="1:9" x14ac:dyDescent="0.25">
      <c r="A11" s="1"/>
      <c r="B11" s="105" t="s">
        <v>67</v>
      </c>
      <c r="C11" s="106"/>
      <c r="D11" s="106"/>
      <c r="E11" s="106"/>
      <c r="F11" s="107"/>
      <c r="G11" s="24">
        <f>(G6-G7)*(1+'Fane 14. Nøgletal'!C10)</f>
        <v>43209688.123026334</v>
      </c>
      <c r="H11" s="14" t="s">
        <v>3</v>
      </c>
      <c r="I11" s="1"/>
    </row>
    <row r="12" spans="1:9" x14ac:dyDescent="0.25">
      <c r="A12" s="1"/>
      <c r="B12" s="105" t="s">
        <v>147</v>
      </c>
      <c r="C12" s="106"/>
      <c r="D12" s="106"/>
      <c r="E12" s="106"/>
      <c r="F12" s="107"/>
      <c r="G12" s="24">
        <v>125019.07418273579</v>
      </c>
      <c r="H12" s="14" t="s">
        <v>3</v>
      </c>
      <c r="I12" s="1"/>
    </row>
    <row r="13" spans="1:9" x14ac:dyDescent="0.25">
      <c r="A13" s="1"/>
      <c r="B13" s="111" t="s">
        <v>68</v>
      </c>
      <c r="C13" s="112"/>
      <c r="D13" s="112"/>
      <c r="E13" s="112"/>
      <c r="F13" s="113"/>
      <c r="G13" s="69">
        <v>0</v>
      </c>
      <c r="H13" s="14" t="s">
        <v>3</v>
      </c>
      <c r="I13" s="1"/>
    </row>
    <row r="14" spans="1:9" x14ac:dyDescent="0.25">
      <c r="A14" s="1"/>
      <c r="B14" s="105" t="s">
        <v>69</v>
      </c>
      <c r="C14" s="106"/>
      <c r="D14" s="106"/>
      <c r="E14" s="106"/>
      <c r="F14" s="107"/>
      <c r="G14" s="24">
        <f>SUM(G11:G13)*'Fane 14. Nøgletal'!C20</f>
        <v>767024.31739060057</v>
      </c>
      <c r="H14" s="14" t="s">
        <v>3</v>
      </c>
      <c r="I14" s="1"/>
    </row>
    <row r="15" spans="1:9" x14ac:dyDescent="0.25">
      <c r="A15" s="1"/>
      <c r="B15" s="38"/>
      <c r="C15" s="32"/>
      <c r="D15" s="32"/>
      <c r="E15" s="32"/>
      <c r="F15" s="32"/>
      <c r="G15" s="32"/>
      <c r="H15" s="20"/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1"/>
      <c r="B17" s="100" t="s">
        <v>70</v>
      </c>
      <c r="C17" s="101"/>
      <c r="D17" s="101"/>
      <c r="E17" s="101"/>
      <c r="F17" s="101"/>
      <c r="G17" s="101"/>
      <c r="H17" s="102"/>
      <c r="I17" s="1"/>
    </row>
    <row r="18" spans="1:9" x14ac:dyDescent="0.25">
      <c r="A18" s="1"/>
      <c r="B18" s="105" t="s">
        <v>71</v>
      </c>
      <c r="C18" s="106"/>
      <c r="D18" s="106"/>
      <c r="E18" s="106"/>
      <c r="F18" s="107"/>
      <c r="G18" s="24">
        <f>(SUM(G11:G13)-G14)*(1+'Fane 14. Nøgletal'!C10)</f>
        <v>43312617.330215298</v>
      </c>
      <c r="H18" s="14" t="s">
        <v>3</v>
      </c>
      <c r="I18" s="1"/>
    </row>
    <row r="19" spans="1:9" x14ac:dyDescent="0.25">
      <c r="A19" s="1"/>
      <c r="B19" s="111" t="s">
        <v>72</v>
      </c>
      <c r="C19" s="112"/>
      <c r="D19" s="112"/>
      <c r="E19" s="112"/>
      <c r="F19" s="113"/>
      <c r="G19" s="24">
        <v>161508.66099784998</v>
      </c>
      <c r="H19" s="14" t="s">
        <v>3</v>
      </c>
      <c r="I19" s="1"/>
    </row>
    <row r="20" spans="1:9" x14ac:dyDescent="0.25">
      <c r="A20" s="1"/>
      <c r="B20" s="105" t="s">
        <v>73</v>
      </c>
      <c r="C20" s="106"/>
      <c r="D20" s="106"/>
      <c r="E20" s="106"/>
      <c r="F20" s="107"/>
      <c r="G20" s="24">
        <f>G18*'Fane 14. Nøgletal'!C20+G19*'Fane 14. Nøgletal'!C21</f>
        <v>768038.45209549204</v>
      </c>
      <c r="H20" s="14" t="s">
        <v>3</v>
      </c>
      <c r="I20" s="1"/>
    </row>
    <row r="21" spans="1:9" x14ac:dyDescent="0.25">
      <c r="A21" s="1"/>
      <c r="B21" s="38"/>
      <c r="C21" s="32"/>
      <c r="D21" s="32"/>
      <c r="E21" s="32"/>
      <c r="F21" s="32"/>
      <c r="G21" s="32"/>
      <c r="H21" s="20"/>
      <c r="I21" s="1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1"/>
      <c r="B23" s="100" t="s">
        <v>74</v>
      </c>
      <c r="C23" s="101"/>
      <c r="D23" s="101"/>
      <c r="E23" s="101"/>
      <c r="F23" s="101"/>
      <c r="G23" s="101"/>
      <c r="H23" s="102"/>
      <c r="I23" s="1"/>
    </row>
    <row r="24" spans="1:9" x14ac:dyDescent="0.25">
      <c r="A24" s="1"/>
      <c r="B24" s="105" t="s">
        <v>75</v>
      </c>
      <c r="C24" s="106"/>
      <c r="D24" s="106"/>
      <c r="E24" s="106"/>
      <c r="F24" s="107"/>
      <c r="G24" s="24">
        <f>(G18+G19-G20)*(1+'Fane 14. Nøgletal'!C12)</f>
        <v>43547397.463638276</v>
      </c>
      <c r="H24" s="14" t="s">
        <v>3</v>
      </c>
      <c r="I24" s="1"/>
    </row>
    <row r="25" spans="1:9" x14ac:dyDescent="0.25">
      <c r="A25" s="1"/>
      <c r="B25" s="111" t="s">
        <v>76</v>
      </c>
      <c r="C25" s="112"/>
      <c r="D25" s="112"/>
      <c r="E25" s="112"/>
      <c r="F25" s="113"/>
      <c r="G25" s="24">
        <v>1132097.6622704363</v>
      </c>
      <c r="H25" s="14" t="s">
        <v>3</v>
      </c>
      <c r="I25" s="1"/>
    </row>
    <row r="26" spans="1:9" x14ac:dyDescent="0.25">
      <c r="A26" s="1"/>
      <c r="B26" s="105" t="s">
        <v>77</v>
      </c>
      <c r="C26" s="106"/>
      <c r="D26" s="106"/>
      <c r="E26" s="106"/>
      <c r="F26" s="107"/>
      <c r="G26" s="24">
        <f>(G24+G25)*'Fane 14. Nøgletal'!C22</f>
        <v>1268897.6615758075</v>
      </c>
      <c r="H26" s="14" t="s">
        <v>3</v>
      </c>
      <c r="I26" s="1"/>
    </row>
    <row r="27" spans="1:9" x14ac:dyDescent="0.25">
      <c r="A27" s="1"/>
      <c r="B27" s="38"/>
      <c r="C27" s="32"/>
      <c r="D27" s="32"/>
      <c r="E27" s="32"/>
      <c r="F27" s="32"/>
      <c r="G27" s="32"/>
      <c r="H27" s="20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00" t="s">
        <v>78</v>
      </c>
      <c r="C29" s="101"/>
      <c r="D29" s="101"/>
      <c r="E29" s="101"/>
      <c r="F29" s="101"/>
      <c r="G29" s="101"/>
      <c r="H29" s="102"/>
      <c r="I29" s="1"/>
    </row>
    <row r="30" spans="1:9" x14ac:dyDescent="0.25">
      <c r="A30" s="1"/>
      <c r="B30" s="105" t="s">
        <v>79</v>
      </c>
      <c r="C30" s="106"/>
      <c r="D30" s="106"/>
      <c r="E30" s="106"/>
      <c r="F30" s="107"/>
      <c r="G30" s="24">
        <f>(G24+G25-G26)*(1+'Fane 14. Nøgletal'!C12)</f>
        <v>44265786.23438026</v>
      </c>
      <c r="H30" s="14" t="s">
        <v>3</v>
      </c>
      <c r="I30" s="1"/>
    </row>
    <row r="31" spans="1:9" x14ac:dyDescent="0.25">
      <c r="A31" s="1"/>
      <c r="B31" s="105" t="s">
        <v>176</v>
      </c>
      <c r="C31" s="106"/>
      <c r="D31" s="106"/>
      <c r="E31" s="106"/>
      <c r="F31" s="107"/>
      <c r="G31" s="24">
        <v>238876.63569251998</v>
      </c>
      <c r="H31" s="14" t="s">
        <v>3</v>
      </c>
      <c r="I31" s="1"/>
    </row>
    <row r="32" spans="1:9" x14ac:dyDescent="0.25">
      <c r="A32" s="1"/>
      <c r="B32" s="105" t="s">
        <v>80</v>
      </c>
      <c r="C32" s="106"/>
      <c r="D32" s="106"/>
      <c r="E32" s="106"/>
      <c r="F32" s="107"/>
      <c r="G32" s="24">
        <f>G30*'Fane 14. Nøgletal'!C22+G31*'Fane 14. Nøgletal'!C23</f>
        <v>1263717.4365379438</v>
      </c>
      <c r="H32" s="14" t="s">
        <v>3</v>
      </c>
      <c r="I32" s="1"/>
    </row>
    <row r="33" spans="1:9" x14ac:dyDescent="0.25">
      <c r="A33" s="1"/>
      <c r="B33" s="38"/>
      <c r="C33" s="32"/>
      <c r="D33" s="32"/>
      <c r="E33" s="32"/>
      <c r="F33" s="32"/>
      <c r="G33" s="32"/>
      <c r="H33" s="20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00" t="s">
        <v>238</v>
      </c>
      <c r="C35" s="101"/>
      <c r="D35" s="101"/>
      <c r="E35" s="101"/>
      <c r="F35" s="101"/>
      <c r="G35" s="101"/>
      <c r="H35" s="102"/>
      <c r="I35" s="1"/>
    </row>
    <row r="36" spans="1:9" x14ac:dyDescent="0.25">
      <c r="A36" s="1"/>
      <c r="B36" s="105" t="s">
        <v>82</v>
      </c>
      <c r="C36" s="106"/>
      <c r="D36" s="106"/>
      <c r="E36" s="106"/>
      <c r="F36" s="107"/>
      <c r="G36" s="24">
        <f>(G30+G31-G32)*(1+'Fane 14. Nøgletal'!C14)</f>
        <v>43383640.553465508</v>
      </c>
      <c r="H36" s="14" t="s">
        <v>3</v>
      </c>
      <c r="I36" s="1"/>
    </row>
    <row r="37" spans="1:9" x14ac:dyDescent="0.25">
      <c r="A37" s="1"/>
      <c r="B37" s="105" t="s">
        <v>240</v>
      </c>
      <c r="C37" s="106"/>
      <c r="D37" s="106"/>
      <c r="E37" s="106"/>
      <c r="F37" s="107"/>
      <c r="G37" s="24">
        <f>SUM('Fane 2.1. Økonomisk ramme 2022'!C11,'Fane 2.1. Økonomisk ramme 2022'!C13,'Fane 2.1. Økonomisk ramme 2022'!C15)*(1+'Fane 14. Nøgletal'!C14)</f>
        <v>135248.23918040001</v>
      </c>
      <c r="H37" s="14" t="s">
        <v>3</v>
      </c>
      <c r="I37" s="1"/>
    </row>
    <row r="38" spans="1:9" x14ac:dyDescent="0.25">
      <c r="A38" s="1"/>
      <c r="B38" s="105" t="s">
        <v>239</v>
      </c>
      <c r="C38" s="106"/>
      <c r="D38" s="106"/>
      <c r="E38" s="106"/>
      <c r="F38" s="107"/>
      <c r="G38" s="24">
        <f>(G36+G37)*'Fane 14. Nøgletal'!C24</f>
        <v>644079.55413115944</v>
      </c>
      <c r="H38" s="14" t="s">
        <v>3</v>
      </c>
      <c r="I38" s="1"/>
    </row>
    <row r="39" spans="1:9" x14ac:dyDescent="0.25">
      <c r="A39" s="1"/>
      <c r="B39" s="38"/>
      <c r="C39" s="32"/>
      <c r="D39" s="32"/>
      <c r="E39" s="32"/>
      <c r="F39" s="32"/>
      <c r="G39" s="32"/>
      <c r="H39" s="20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00" t="s">
        <v>85</v>
      </c>
      <c r="C41" s="101"/>
      <c r="D41" s="101"/>
      <c r="E41" s="101"/>
      <c r="F41" s="101"/>
      <c r="G41" s="101"/>
      <c r="H41" s="102"/>
      <c r="I41" s="1"/>
    </row>
    <row r="42" spans="1:9" x14ac:dyDescent="0.25">
      <c r="A42" s="1"/>
      <c r="B42" s="105" t="s">
        <v>81</v>
      </c>
      <c r="C42" s="106"/>
      <c r="D42" s="106"/>
      <c r="E42" s="106"/>
      <c r="F42" s="107"/>
      <c r="G42" s="24">
        <f>(G36+G37-G38)*(1+'Fane 14. Nøgletal'!C14)</f>
        <v>43016296.109001853</v>
      </c>
      <c r="H42" s="14" t="s">
        <v>3</v>
      </c>
      <c r="I42" s="1"/>
    </row>
    <row r="43" spans="1:9" x14ac:dyDescent="0.25">
      <c r="A43" s="1"/>
      <c r="B43" s="47" t="s">
        <v>242</v>
      </c>
      <c r="C43" s="63"/>
      <c r="D43" s="63"/>
      <c r="E43" s="63"/>
      <c r="F43" s="64"/>
      <c r="G43" s="24">
        <f>G37*(1+'Fane 14. Nøgletal'!C14)</f>
        <v>135694.55836969533</v>
      </c>
      <c r="H43" s="14" t="s">
        <v>3</v>
      </c>
      <c r="I43" s="1"/>
    </row>
    <row r="44" spans="1:9" x14ac:dyDescent="0.25">
      <c r="A44" s="1"/>
      <c r="B44" s="105" t="s">
        <v>101</v>
      </c>
      <c r="C44" s="106"/>
      <c r="D44" s="106"/>
      <c r="E44" s="106"/>
      <c r="F44" s="107"/>
      <c r="G44" s="69">
        <f>-'Fane 13. Bortfald'!E18*(1+'Fane 14. Nøgletal'!C14)</f>
        <v>0</v>
      </c>
      <c r="H44" s="14" t="s">
        <v>3</v>
      </c>
      <c r="I44" s="1"/>
    </row>
    <row r="45" spans="1:9" x14ac:dyDescent="0.25">
      <c r="A45" s="1"/>
      <c r="B45" s="105" t="s">
        <v>241</v>
      </c>
      <c r="C45" s="106"/>
      <c r="D45" s="106"/>
      <c r="E45" s="106"/>
      <c r="F45" s="107"/>
      <c r="G45" s="24">
        <f>(G42+G44)*'Fane 14. Nøgletal'!C24</f>
        <v>636641.18241322739</v>
      </c>
      <c r="H45" s="14" t="s">
        <v>3</v>
      </c>
      <c r="I45" s="1"/>
    </row>
    <row r="46" spans="1:9" x14ac:dyDescent="0.25">
      <c r="A46" s="1"/>
      <c r="B46" s="38"/>
      <c r="C46" s="32"/>
      <c r="D46" s="32"/>
      <c r="E46" s="32"/>
      <c r="F46" s="32"/>
      <c r="G46" s="32"/>
      <c r="H46" s="20"/>
      <c r="I46" s="1"/>
    </row>
    <row r="47" spans="1:9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25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25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25">
      <c r="A50" s="1"/>
      <c r="B50" s="1"/>
      <c r="C50" s="1"/>
      <c r="D50" s="1"/>
      <c r="E50" s="1"/>
      <c r="F50" s="1"/>
      <c r="G50" s="1"/>
      <c r="H50" s="1"/>
      <c r="I50" s="1"/>
    </row>
    <row r="51" spans="1:9" x14ac:dyDescent="0.25">
      <c r="A51" s="1"/>
      <c r="B51" s="1"/>
      <c r="C51" s="1"/>
      <c r="D51" s="1"/>
      <c r="E51" s="1"/>
      <c r="F51" s="1"/>
      <c r="G51" s="1"/>
      <c r="H51" s="1"/>
      <c r="I51" s="1"/>
    </row>
    <row r="52" spans="1:9" x14ac:dyDescent="0.25">
      <c r="A52" s="1"/>
      <c r="B52" s="1"/>
      <c r="C52" s="1"/>
      <c r="D52" s="1"/>
      <c r="E52" s="1"/>
      <c r="F52" s="1"/>
      <c r="G52" s="1"/>
      <c r="H52" s="1"/>
      <c r="I52" s="1"/>
    </row>
    <row r="53" spans="1:9" x14ac:dyDescent="0.25">
      <c r="A53" s="1"/>
      <c r="B53" s="100" t="s">
        <v>181</v>
      </c>
      <c r="C53" s="101"/>
      <c r="D53" s="101"/>
      <c r="E53" s="101"/>
      <c r="F53" s="101"/>
      <c r="G53" s="101"/>
      <c r="H53" s="102"/>
      <c r="I53" s="1"/>
    </row>
    <row r="54" spans="1:9" x14ac:dyDescent="0.25">
      <c r="A54" s="1"/>
      <c r="B54" s="105" t="s">
        <v>182</v>
      </c>
      <c r="C54" s="106"/>
      <c r="D54" s="106"/>
      <c r="E54" s="106"/>
      <c r="F54" s="107"/>
      <c r="G54" s="24">
        <f>(G42+G44-G45)*(1+'Fane 14. Nøgletal'!C14)</f>
        <v>42519507.787846372</v>
      </c>
      <c r="H54" s="14" t="s">
        <v>3</v>
      </c>
      <c r="I54" s="1"/>
    </row>
    <row r="55" spans="1:9" x14ac:dyDescent="0.25">
      <c r="A55" s="1"/>
      <c r="B55" s="105" t="s">
        <v>183</v>
      </c>
      <c r="C55" s="106"/>
      <c r="D55" s="106"/>
      <c r="E55" s="106"/>
      <c r="F55" s="107"/>
      <c r="G55" s="24">
        <f>-'Fane 13. Bortfald'!E24*(1+'Fane 14. Nøgletal'!C13)</f>
        <v>0</v>
      </c>
      <c r="H55" s="14" t="s">
        <v>3</v>
      </c>
      <c r="I55" s="1"/>
    </row>
    <row r="56" spans="1:9" x14ac:dyDescent="0.25">
      <c r="A56" s="1"/>
      <c r="B56" s="105" t="s">
        <v>184</v>
      </c>
      <c r="C56" s="106"/>
      <c r="D56" s="106"/>
      <c r="E56" s="106"/>
      <c r="F56" s="107"/>
      <c r="G56" s="24">
        <f>(G54+G55)*'Fane 14. Nøgletal'!C24</f>
        <v>629288.71526012628</v>
      </c>
      <c r="H56" s="14" t="s">
        <v>3</v>
      </c>
      <c r="I56" s="1"/>
    </row>
    <row r="57" spans="1:9" x14ac:dyDescent="0.25">
      <c r="A57" s="1"/>
      <c r="B57" s="38"/>
      <c r="C57" s="32"/>
      <c r="D57" s="32"/>
      <c r="E57" s="32"/>
      <c r="F57" s="32"/>
      <c r="G57" s="32"/>
      <c r="H57" s="20"/>
      <c r="I57" s="1"/>
    </row>
    <row r="58" spans="1:9" x14ac:dyDescent="0.25">
      <c r="A58" s="1"/>
      <c r="B58" s="1"/>
      <c r="C58" s="1"/>
      <c r="D58" s="1"/>
      <c r="E58" s="1"/>
      <c r="F58" s="1"/>
      <c r="G58" s="1"/>
      <c r="H58" s="1"/>
      <c r="I58" s="1"/>
    </row>
    <row r="59" spans="1:9" x14ac:dyDescent="0.25">
      <c r="A59" s="1"/>
      <c r="B59" s="100" t="s">
        <v>205</v>
      </c>
      <c r="C59" s="101"/>
      <c r="D59" s="101"/>
      <c r="E59" s="101"/>
      <c r="F59" s="101"/>
      <c r="G59" s="101"/>
      <c r="H59" s="102"/>
      <c r="I59" s="1"/>
    </row>
    <row r="60" spans="1:9" x14ac:dyDescent="0.25">
      <c r="A60" s="1"/>
      <c r="B60" s="105" t="s">
        <v>255</v>
      </c>
      <c r="C60" s="106"/>
      <c r="D60" s="106"/>
      <c r="E60" s="106"/>
      <c r="F60" s="107"/>
      <c r="G60" s="24">
        <f>(G54+G55-G56)*(1+'Fane 14. Nøgletal'!C14)</f>
        <v>42028456.795525782</v>
      </c>
      <c r="H60" s="14" t="s">
        <v>3</v>
      </c>
      <c r="I60" s="1"/>
    </row>
    <row r="61" spans="1:9" x14ac:dyDescent="0.25">
      <c r="A61" s="1"/>
      <c r="B61" s="105" t="s">
        <v>256</v>
      </c>
      <c r="C61" s="106"/>
      <c r="D61" s="106"/>
      <c r="E61" s="106"/>
      <c r="F61" s="107"/>
      <c r="G61" s="24">
        <f>-'Fane 13. Bortfald'!E30*(1+'Fane 14. Nøgletal'!C14)</f>
        <v>0</v>
      </c>
      <c r="H61" s="14" t="s">
        <v>3</v>
      </c>
      <c r="I61" s="1"/>
    </row>
    <row r="62" spans="1:9" x14ac:dyDescent="0.25">
      <c r="A62" s="1"/>
      <c r="B62" s="105" t="s">
        <v>257</v>
      </c>
      <c r="C62" s="106"/>
      <c r="D62" s="106"/>
      <c r="E62" s="106"/>
      <c r="F62" s="107"/>
      <c r="G62" s="24">
        <f>(G60+G61)*'Fane 14. Nøgletal'!C24</f>
        <v>622021.16057378158</v>
      </c>
      <c r="H62" s="14" t="s">
        <v>3</v>
      </c>
      <c r="I62" s="1"/>
    </row>
    <row r="63" spans="1:9" x14ac:dyDescent="0.25">
      <c r="A63" s="1"/>
      <c r="B63" s="38"/>
      <c r="C63" s="32"/>
      <c r="D63" s="32"/>
      <c r="E63" s="32"/>
      <c r="F63" s="32"/>
      <c r="G63" s="32"/>
      <c r="H63" s="20"/>
      <c r="I63" s="1"/>
    </row>
    <row r="64" spans="1:9" x14ac:dyDescent="0.25">
      <c r="A64" s="1"/>
      <c r="B64" s="1"/>
      <c r="C64" s="1"/>
      <c r="D64" s="1"/>
      <c r="E64" s="1"/>
      <c r="F64" s="1"/>
      <c r="G64" s="1"/>
      <c r="H64" s="1"/>
      <c r="I64" s="1"/>
    </row>
  </sheetData>
  <sheetProtection algorithmName="SHA-512" hashValue="bU0bqci4wA0Y6OdtOFBxy1uVuYh44DyKurzgZ4WCkJZeZWjRiOiQA0OSiOhWx9hy6WdixDwYolU8fJrL7d2tOw==" saltValue="T8W3mH2EtD6oteq4jF7y1g==" spinCount="100000" sheet="1" objects="1" scenarios="1"/>
  <mergeCells count="37">
    <mergeCell ref="B1:H3"/>
    <mergeCell ref="B53:H53"/>
    <mergeCell ref="B54:F54"/>
    <mergeCell ref="B55:F55"/>
    <mergeCell ref="B56:F56"/>
    <mergeCell ref="B36:F36"/>
    <mergeCell ref="B45:F45"/>
    <mergeCell ref="B20:F20"/>
    <mergeCell ref="B5:H5"/>
    <mergeCell ref="B6:F6"/>
    <mergeCell ref="B7:F7"/>
    <mergeCell ref="B10:H10"/>
    <mergeCell ref="B11:F11"/>
    <mergeCell ref="B13:F13"/>
    <mergeCell ref="B14:F14"/>
    <mergeCell ref="B17:H17"/>
    <mergeCell ref="B18:F18"/>
    <mergeCell ref="B19:F19"/>
    <mergeCell ref="B31:F31"/>
    <mergeCell ref="B23:H23"/>
    <mergeCell ref="B12:F12"/>
    <mergeCell ref="B24:F24"/>
    <mergeCell ref="B25:F25"/>
    <mergeCell ref="B26:F26"/>
    <mergeCell ref="B42:F42"/>
    <mergeCell ref="B29:H29"/>
    <mergeCell ref="B30:F30"/>
    <mergeCell ref="B32:F32"/>
    <mergeCell ref="B35:H35"/>
    <mergeCell ref="B37:F37"/>
    <mergeCell ref="B38:F38"/>
    <mergeCell ref="B41:H41"/>
    <mergeCell ref="B59:H59"/>
    <mergeCell ref="B60:F60"/>
    <mergeCell ref="B61:F61"/>
    <mergeCell ref="B62:F62"/>
    <mergeCell ref="B44:F4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A1:I49"/>
  <sheetViews>
    <sheetView showGridLines="0" view="pageLayout" zoomScaleNormal="100" workbookViewId="0"/>
  </sheetViews>
  <sheetFormatPr defaultColWidth="9.140625" defaultRowHeight="15" x14ac:dyDescent="0.25"/>
  <cols>
    <col min="1" max="1" width="7.85546875" style="2" customWidth="1"/>
    <col min="2" max="5" width="9.140625" style="2"/>
    <col min="6" max="6" width="19.85546875" style="2" customWidth="1"/>
    <col min="7" max="7" width="10.28515625" style="2" customWidth="1"/>
    <col min="8" max="8" width="3.28515625" style="2" customWidth="1"/>
    <col min="9" max="9" width="7.85546875" style="2" customWidth="1"/>
    <col min="10" max="16384" width="9.140625" style="2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88" t="s">
        <v>96</v>
      </c>
      <c r="C3" s="88"/>
      <c r="D3" s="88"/>
      <c r="E3" s="88"/>
      <c r="F3" s="88"/>
      <c r="G3" s="88"/>
      <c r="H3" s="88"/>
      <c r="I3" s="1"/>
    </row>
    <row r="4" spans="1:9" ht="15" customHeight="1" x14ac:dyDescent="0.25">
      <c r="A4" s="1"/>
      <c r="B4" s="88"/>
      <c r="C4" s="88"/>
      <c r="D4" s="88"/>
      <c r="E4" s="88"/>
      <c r="F4" s="88"/>
      <c r="G4" s="88"/>
      <c r="H4" s="88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100" t="s">
        <v>10</v>
      </c>
      <c r="C8" s="101"/>
      <c r="D8" s="101"/>
      <c r="E8" s="101"/>
      <c r="F8" s="101"/>
      <c r="G8" s="101"/>
      <c r="H8" s="102"/>
      <c r="I8" s="1"/>
    </row>
    <row r="9" spans="1:9" x14ac:dyDescent="0.25">
      <c r="A9" s="1"/>
      <c r="B9" s="105" t="s">
        <v>243</v>
      </c>
      <c r="C9" s="106"/>
      <c r="D9" s="106"/>
      <c r="E9" s="106"/>
      <c r="F9" s="107"/>
      <c r="G9" s="23">
        <v>5.3496680778775639E-3</v>
      </c>
      <c r="H9" s="14"/>
      <c r="I9" s="1"/>
    </row>
    <row r="10" spans="1:9" x14ac:dyDescent="0.25">
      <c r="A10" s="1"/>
      <c r="B10" s="105" t="s">
        <v>86</v>
      </c>
      <c r="C10" s="106"/>
      <c r="D10" s="106"/>
      <c r="E10" s="106"/>
      <c r="F10" s="107"/>
      <c r="G10" s="23">
        <v>1.3315537388260877E-2</v>
      </c>
      <c r="H10" s="14"/>
      <c r="I10" s="1"/>
    </row>
    <row r="11" spans="1:9" x14ac:dyDescent="0.25">
      <c r="A11" s="1"/>
      <c r="B11" s="105" t="s">
        <v>87</v>
      </c>
      <c r="C11" s="106"/>
      <c r="D11" s="106"/>
      <c r="E11" s="106"/>
      <c r="F11" s="107"/>
      <c r="G11" s="41">
        <v>2.9011536840681104E-3</v>
      </c>
      <c r="H11" s="14"/>
      <c r="I11" s="1"/>
    </row>
    <row r="12" spans="1:9" x14ac:dyDescent="0.25">
      <c r="A12" s="1"/>
      <c r="B12" s="105" t="s">
        <v>206</v>
      </c>
      <c r="C12" s="106"/>
      <c r="D12" s="106"/>
      <c r="E12" s="106"/>
      <c r="F12" s="107"/>
      <c r="G12" s="41">
        <v>4.6878365920928191E-3</v>
      </c>
      <c r="H12" s="46"/>
      <c r="I12" s="1"/>
    </row>
    <row r="13" spans="1:9" x14ac:dyDescent="0.25">
      <c r="A13" s="1"/>
      <c r="B13" s="38"/>
      <c r="C13" s="32"/>
      <c r="D13" s="32"/>
      <c r="E13" s="32"/>
      <c r="F13" s="32"/>
      <c r="G13" s="32"/>
      <c r="H13" s="20"/>
      <c r="I13" s="1"/>
    </row>
    <row r="14" spans="1:9" ht="40.5" customHeight="1" x14ac:dyDescent="0.25">
      <c r="A14" s="1"/>
      <c r="B14" s="115" t="s">
        <v>207</v>
      </c>
      <c r="C14" s="115"/>
      <c r="D14" s="115"/>
      <c r="E14" s="115"/>
      <c r="F14" s="115"/>
      <c r="G14" s="115"/>
      <c r="H14" s="115"/>
      <c r="I14" s="1"/>
    </row>
    <row r="15" spans="1:9" ht="14.25" customHeight="1" x14ac:dyDescent="0.25">
      <c r="A15" s="18"/>
      <c r="B15" s="115"/>
      <c r="C15" s="115"/>
      <c r="D15" s="115"/>
      <c r="E15" s="115"/>
      <c r="F15" s="115"/>
      <c r="G15" s="115"/>
      <c r="H15" s="115"/>
      <c r="I15" s="18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25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25">
      <c r="A49" s="1"/>
      <c r="B49" s="1"/>
      <c r="C49" s="1"/>
      <c r="D49" s="1"/>
      <c r="E49" s="1"/>
      <c r="F49" s="1"/>
      <c r="G49" s="1"/>
      <c r="H49" s="1"/>
      <c r="I49" s="1"/>
    </row>
  </sheetData>
  <sheetProtection algorithmName="SHA-512" hashValue="L/lhV6YnNkvLVPts+zfUkFo5DqR0zAL6wYUm1pRCshTjYf9+r1mwbI7/VRsMbBqdQ91b/F8xkJ67E3HehQE8zg==" saltValue="fHZlnd3bOlcvxBEz8GII2g==" spinCount="100000" sheet="1" objects="1" scenarios="1"/>
  <mergeCells count="8">
    <mergeCell ref="B3:H4"/>
    <mergeCell ref="B15:H15"/>
    <mergeCell ref="B8:H8"/>
    <mergeCell ref="B10:F10"/>
    <mergeCell ref="B11:F11"/>
    <mergeCell ref="B14:H14"/>
    <mergeCell ref="B12:F12"/>
    <mergeCell ref="B9:F9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/>
  <dimension ref="A1:F51"/>
  <sheetViews>
    <sheetView showGridLines="0" view="pageLayout" zoomScaleNormal="100" workbookViewId="0"/>
  </sheetViews>
  <sheetFormatPr defaultColWidth="9.140625" defaultRowHeight="15" x14ac:dyDescent="0.25"/>
  <cols>
    <col min="1" max="1" width="8.140625" style="2" customWidth="1"/>
    <col min="2" max="2" width="38" style="2" customWidth="1"/>
    <col min="3" max="3" width="24.85546875" style="2" customWidth="1"/>
    <col min="4" max="4" width="3.28515625" style="2" customWidth="1"/>
    <col min="5" max="5" width="7.85546875" style="2" customWidth="1"/>
    <col min="6" max="6" width="4" style="2" customWidth="1"/>
    <col min="7" max="16384" width="9.140625" style="2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1"/>
      <c r="B2" s="1"/>
      <c r="C2" s="1"/>
      <c r="D2" s="1"/>
      <c r="E2" s="1"/>
      <c r="F2" s="1"/>
    </row>
    <row r="3" spans="1:6" ht="15" customHeight="1" x14ac:dyDescent="0.25">
      <c r="A3" s="1"/>
      <c r="B3" s="88" t="s">
        <v>132</v>
      </c>
      <c r="C3" s="88"/>
      <c r="D3" s="88"/>
      <c r="E3" s="1"/>
      <c r="F3" s="1"/>
    </row>
    <row r="4" spans="1:6" ht="15" customHeight="1" x14ac:dyDescent="0.25">
      <c r="A4" s="1"/>
      <c r="B4" s="88"/>
      <c r="C4" s="88"/>
      <c r="D4" s="88"/>
      <c r="E4" s="1"/>
      <c r="F4" s="1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1"/>
      <c r="B6" s="1"/>
      <c r="C6" s="1"/>
      <c r="D6" s="1"/>
      <c r="E6" s="1"/>
      <c r="F6" s="1"/>
    </row>
    <row r="7" spans="1:6" x14ac:dyDescent="0.25">
      <c r="A7" s="1"/>
      <c r="B7" s="1"/>
      <c r="C7" s="1"/>
      <c r="D7" s="1"/>
      <c r="E7" s="1"/>
      <c r="F7" s="1"/>
    </row>
    <row r="8" spans="1:6" x14ac:dyDescent="0.25">
      <c r="A8" s="1"/>
      <c r="B8" s="100" t="s">
        <v>208</v>
      </c>
      <c r="C8" s="101"/>
      <c r="D8" s="102"/>
      <c r="E8" s="1"/>
      <c r="F8" s="1"/>
    </row>
    <row r="9" spans="1:6" ht="15" customHeight="1" x14ac:dyDescent="0.25">
      <c r="A9" s="1"/>
      <c r="B9" s="31" t="s">
        <v>35</v>
      </c>
      <c r="C9" s="11" t="s">
        <v>244</v>
      </c>
      <c r="D9" s="11"/>
      <c r="E9" s="1"/>
      <c r="F9" s="1"/>
    </row>
    <row r="10" spans="1:6" ht="15" customHeight="1" x14ac:dyDescent="0.25">
      <c r="A10" s="1"/>
      <c r="B10" s="65" t="s">
        <v>262</v>
      </c>
      <c r="C10" s="9">
        <v>1284215</v>
      </c>
      <c r="D10" s="14" t="s">
        <v>3</v>
      </c>
      <c r="E10" s="1"/>
      <c r="F10" s="1"/>
    </row>
    <row r="11" spans="1:6" x14ac:dyDescent="0.25">
      <c r="A11" s="1"/>
      <c r="B11" s="65" t="s">
        <v>263</v>
      </c>
      <c r="C11" s="9">
        <v>81278</v>
      </c>
      <c r="D11" s="14" t="s">
        <v>3</v>
      </c>
      <c r="E11" s="1"/>
      <c r="F11" s="1"/>
    </row>
    <row r="12" spans="1:6" x14ac:dyDescent="0.25">
      <c r="A12" s="1"/>
      <c r="B12" s="65" t="s">
        <v>264</v>
      </c>
      <c r="C12" s="9">
        <v>133987.5</v>
      </c>
      <c r="D12" s="14" t="s">
        <v>3</v>
      </c>
      <c r="E12" s="1"/>
      <c r="F12" s="1"/>
    </row>
    <row r="13" spans="1:6" x14ac:dyDescent="0.25">
      <c r="A13" s="1"/>
      <c r="B13" s="65" t="s">
        <v>265</v>
      </c>
      <c r="C13" s="9">
        <v>281287.84999999998</v>
      </c>
      <c r="D13" s="14" t="s">
        <v>3</v>
      </c>
      <c r="E13" s="1"/>
      <c r="F13" s="1"/>
    </row>
    <row r="14" spans="1:6" x14ac:dyDescent="0.25">
      <c r="A14" s="1"/>
      <c r="B14" s="38" t="s">
        <v>209</v>
      </c>
      <c r="C14" s="12">
        <f>SUM(C10:C13)</f>
        <v>1780768.35</v>
      </c>
      <c r="D14" s="13" t="s">
        <v>3</v>
      </c>
      <c r="E14" s="1"/>
      <c r="F14" s="1"/>
    </row>
    <row r="15" spans="1:6" x14ac:dyDescent="0.25">
      <c r="A15" s="1"/>
      <c r="B15" s="38" t="s">
        <v>210</v>
      </c>
      <c r="C15" s="12">
        <f>C14*(1+'Fane 14. Nøgletal'!C14)^2</f>
        <v>1792540.8136773319</v>
      </c>
      <c r="D15" s="13" t="s">
        <v>3</v>
      </c>
      <c r="E15" s="1"/>
      <c r="F15" s="1"/>
    </row>
    <row r="16" spans="1:6" x14ac:dyDescent="0.25">
      <c r="A16" s="1"/>
      <c r="B16" s="16"/>
      <c r="C16" s="15"/>
      <c r="D16" s="15"/>
      <c r="E16" s="1"/>
      <c r="F16" s="1"/>
    </row>
    <row r="17" spans="1:6" x14ac:dyDescent="0.25">
      <c r="A17" s="1"/>
      <c r="B17" s="16"/>
      <c r="C17" s="15"/>
      <c r="D17" s="15"/>
      <c r="E17" s="1"/>
      <c r="F17" s="1"/>
    </row>
    <row r="18" spans="1:6" x14ac:dyDescent="0.25">
      <c r="A18" s="1"/>
      <c r="B18" s="100" t="s">
        <v>142</v>
      </c>
      <c r="C18" s="101"/>
      <c r="D18" s="102"/>
      <c r="E18" s="1"/>
      <c r="F18" s="1"/>
    </row>
    <row r="19" spans="1:6" x14ac:dyDescent="0.25">
      <c r="A19" s="1"/>
      <c r="B19" s="65" t="s">
        <v>116</v>
      </c>
      <c r="C19" s="9">
        <v>0</v>
      </c>
      <c r="D19" s="14" t="s">
        <v>3</v>
      </c>
      <c r="E19" s="1"/>
      <c r="F19" s="1"/>
    </row>
    <row r="20" spans="1:6" x14ac:dyDescent="0.25">
      <c r="A20" s="1"/>
      <c r="B20" s="65" t="s">
        <v>117</v>
      </c>
      <c r="C20" s="9">
        <v>0</v>
      </c>
      <c r="D20" s="14" t="s">
        <v>3</v>
      </c>
      <c r="E20" s="1"/>
      <c r="F20" s="1"/>
    </row>
    <row r="21" spans="1:6" x14ac:dyDescent="0.25">
      <c r="A21" s="1"/>
      <c r="B21" s="65" t="s">
        <v>154</v>
      </c>
      <c r="C21" s="9">
        <v>0</v>
      </c>
      <c r="D21" s="14" t="s">
        <v>3</v>
      </c>
      <c r="E21" s="1"/>
      <c r="F21" s="1"/>
    </row>
    <row r="22" spans="1:6" x14ac:dyDescent="0.25">
      <c r="A22" s="1"/>
      <c r="B22" s="65" t="s">
        <v>211</v>
      </c>
      <c r="C22" s="9">
        <v>0</v>
      </c>
      <c r="D22" s="14" t="s">
        <v>3</v>
      </c>
      <c r="E22" s="1"/>
      <c r="F22" s="1"/>
    </row>
    <row r="23" spans="1:6" x14ac:dyDescent="0.25">
      <c r="A23" s="1"/>
      <c r="B23" s="100"/>
      <c r="C23" s="101"/>
      <c r="D23" s="102"/>
      <c r="E23" s="1"/>
      <c r="F23" s="1"/>
    </row>
    <row r="24" spans="1:6" x14ac:dyDescent="0.25">
      <c r="A24" s="1"/>
      <c r="B24" s="1"/>
      <c r="C24" s="1"/>
      <c r="D24" s="1"/>
      <c r="E24" s="1"/>
      <c r="F24" s="1"/>
    </row>
    <row r="25" spans="1:6" x14ac:dyDescent="0.25">
      <c r="A25" s="1"/>
      <c r="B25" s="1"/>
      <c r="C25" s="1"/>
      <c r="D25" s="1"/>
      <c r="E25" s="1"/>
      <c r="F25" s="1"/>
    </row>
    <row r="26" spans="1:6" x14ac:dyDescent="0.25">
      <c r="A26" s="1"/>
      <c r="B26" s="100" t="s">
        <v>115</v>
      </c>
      <c r="C26" s="101"/>
      <c r="D26" s="102"/>
      <c r="E26" s="1"/>
      <c r="F26" s="1"/>
    </row>
    <row r="27" spans="1:6" x14ac:dyDescent="0.25">
      <c r="A27" s="1"/>
      <c r="B27" s="65" t="s">
        <v>116</v>
      </c>
      <c r="C27" s="9">
        <v>0</v>
      </c>
      <c r="D27" s="14" t="s">
        <v>3</v>
      </c>
      <c r="E27" s="1"/>
      <c r="F27" s="1"/>
    </row>
    <row r="28" spans="1:6" x14ac:dyDescent="0.25">
      <c r="A28" s="1"/>
      <c r="B28" s="65" t="s">
        <v>117</v>
      </c>
      <c r="C28" s="9">
        <v>0</v>
      </c>
      <c r="D28" s="14" t="s">
        <v>3</v>
      </c>
      <c r="E28" s="1"/>
      <c r="F28" s="1"/>
    </row>
    <row r="29" spans="1:6" x14ac:dyDescent="0.25">
      <c r="A29" s="1"/>
      <c r="B29" s="65" t="s">
        <v>154</v>
      </c>
      <c r="C29" s="9">
        <v>0</v>
      </c>
      <c r="D29" s="14" t="s">
        <v>3</v>
      </c>
      <c r="E29" s="1"/>
      <c r="F29" s="1"/>
    </row>
    <row r="30" spans="1:6" x14ac:dyDescent="0.25">
      <c r="A30" s="1"/>
      <c r="B30" s="65" t="s">
        <v>211</v>
      </c>
      <c r="C30" s="9">
        <v>0</v>
      </c>
      <c r="D30" s="14" t="s">
        <v>3</v>
      </c>
      <c r="E30" s="1"/>
      <c r="F30" s="1"/>
    </row>
    <row r="31" spans="1:6" x14ac:dyDescent="0.25">
      <c r="A31" s="1"/>
      <c r="B31" s="100"/>
      <c r="C31" s="101"/>
      <c r="D31" s="102"/>
      <c r="E31" s="1"/>
      <c r="F31" s="1"/>
    </row>
    <row r="32" spans="1:6" x14ac:dyDescent="0.25">
      <c r="A32" s="1"/>
      <c r="B32" s="1"/>
      <c r="C32" s="1"/>
      <c r="D32" s="1"/>
      <c r="E32" s="1"/>
      <c r="F32" s="1"/>
    </row>
    <row r="33" spans="1:6" x14ac:dyDescent="0.25">
      <c r="A33" s="1"/>
      <c r="B33" s="1"/>
      <c r="C33" s="1"/>
      <c r="D33" s="1"/>
      <c r="E33" s="1"/>
      <c r="F33" s="1"/>
    </row>
    <row r="34" spans="1:6" x14ac:dyDescent="0.25">
      <c r="A34" s="1"/>
      <c r="B34" s="1"/>
      <c r="C34" s="1"/>
      <c r="D34" s="1"/>
      <c r="E34" s="1"/>
      <c r="F34" s="1"/>
    </row>
    <row r="35" spans="1:6" x14ac:dyDescent="0.25">
      <c r="A35" s="1"/>
      <c r="B35" s="1"/>
      <c r="C35" s="1"/>
      <c r="D35" s="1"/>
      <c r="E35" s="1"/>
      <c r="F35" s="1"/>
    </row>
    <row r="36" spans="1:6" x14ac:dyDescent="0.25">
      <c r="A36" s="1"/>
      <c r="B36" s="1"/>
      <c r="C36" s="1"/>
      <c r="D36" s="1"/>
      <c r="E36" s="1"/>
      <c r="F36" s="1"/>
    </row>
    <row r="37" spans="1:6" x14ac:dyDescent="0.25">
      <c r="A37" s="1"/>
      <c r="B37" s="1"/>
      <c r="C37" s="1"/>
      <c r="D37" s="1"/>
      <c r="E37" s="1"/>
      <c r="F37" s="1"/>
    </row>
    <row r="38" spans="1:6" x14ac:dyDescent="0.25">
      <c r="A38" s="1"/>
      <c r="B38" s="1"/>
      <c r="C38" s="1"/>
      <c r="D38" s="1"/>
      <c r="E38" s="1"/>
      <c r="F38" s="1"/>
    </row>
    <row r="39" spans="1:6" x14ac:dyDescent="0.25">
      <c r="A39" s="1"/>
      <c r="B39" s="1"/>
      <c r="C39" s="1"/>
      <c r="D39" s="1"/>
      <c r="E39" s="1"/>
      <c r="F39" s="1"/>
    </row>
    <row r="40" spans="1:6" x14ac:dyDescent="0.25">
      <c r="A40" s="1"/>
      <c r="B40" s="1"/>
      <c r="C40" s="1"/>
      <c r="D40" s="1"/>
      <c r="E40" s="1"/>
      <c r="F40" s="1"/>
    </row>
    <row r="41" spans="1:6" x14ac:dyDescent="0.25">
      <c r="A41" s="1"/>
      <c r="B41" s="1"/>
      <c r="C41" s="1"/>
      <c r="D41" s="1"/>
      <c r="E41" s="1"/>
      <c r="F41" s="1"/>
    </row>
    <row r="42" spans="1:6" x14ac:dyDescent="0.25">
      <c r="A42" s="1"/>
      <c r="B42" s="1"/>
      <c r="C42" s="1"/>
      <c r="D42" s="1"/>
      <c r="E42" s="1"/>
      <c r="F42" s="1"/>
    </row>
    <row r="43" spans="1:6" x14ac:dyDescent="0.25">
      <c r="A43" s="1"/>
      <c r="B43" s="1"/>
      <c r="C43" s="1"/>
      <c r="D43" s="1"/>
      <c r="E43" s="1"/>
      <c r="F43" s="1"/>
    </row>
    <row r="44" spans="1:6" x14ac:dyDescent="0.25">
      <c r="A44" s="1"/>
      <c r="B44" s="1"/>
      <c r="C44" s="1"/>
      <c r="D44" s="1"/>
      <c r="E44" s="1"/>
      <c r="F44" s="1"/>
    </row>
    <row r="45" spans="1:6" x14ac:dyDescent="0.25">
      <c r="A45" s="1"/>
      <c r="B45" s="1"/>
      <c r="C45" s="1"/>
      <c r="D45" s="1"/>
      <c r="E45" s="1"/>
      <c r="F45" s="1"/>
    </row>
    <row r="46" spans="1:6" x14ac:dyDescent="0.25">
      <c r="A46" s="1"/>
      <c r="B46" s="1"/>
      <c r="C46" s="1"/>
      <c r="D46" s="1"/>
      <c r="E46" s="1"/>
      <c r="F46" s="1"/>
    </row>
    <row r="47" spans="1:6" x14ac:dyDescent="0.25">
      <c r="A47" s="1"/>
      <c r="B47" s="1"/>
      <c r="C47" s="1"/>
      <c r="D47" s="1"/>
      <c r="E47" s="1"/>
      <c r="F47" s="1"/>
    </row>
    <row r="48" spans="1:6" x14ac:dyDescent="0.25">
      <c r="A48" s="1"/>
      <c r="B48" s="1"/>
      <c r="C48" s="1"/>
      <c r="D48" s="1"/>
      <c r="E48" s="1"/>
      <c r="F48" s="1"/>
    </row>
    <row r="49" spans="1:6" x14ac:dyDescent="0.25">
      <c r="A49" s="1"/>
      <c r="B49" s="1"/>
      <c r="C49" s="1"/>
      <c r="D49" s="1"/>
      <c r="E49" s="1"/>
      <c r="F49" s="1"/>
    </row>
    <row r="50" spans="1:6" x14ac:dyDescent="0.25">
      <c r="A50" s="1"/>
      <c r="B50" s="1"/>
      <c r="C50" s="1"/>
      <c r="D50" s="1"/>
      <c r="E50" s="1"/>
      <c r="F50" s="1"/>
    </row>
    <row r="51" spans="1:6" x14ac:dyDescent="0.25">
      <c r="A51" s="1"/>
      <c r="B51" s="1"/>
      <c r="C51" s="1"/>
      <c r="D51" s="1"/>
      <c r="E51" s="1"/>
      <c r="F51" s="1"/>
    </row>
  </sheetData>
  <sheetProtection algorithmName="SHA-512" hashValue="jgAYh6/x6zPvB1ZGWvSIv6KDZqwGnpJXJFypZTjygkVedDdxylDGenN4xErRfRWc+DfLmqHRocb4d+E1mMopmg==" saltValue="gXBw8oEfaf0HXgtEIZekdA==" spinCount="100000" sheet="1" objects="1" scenarios="1"/>
  <mergeCells count="6">
    <mergeCell ref="B31:D31"/>
    <mergeCell ref="B3:D4"/>
    <mergeCell ref="B8:D8"/>
    <mergeCell ref="B18:D18"/>
    <mergeCell ref="B26:D26"/>
    <mergeCell ref="B23:D23"/>
  </mergeCells>
  <pageMargins left="0.75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2"/>
  <dimension ref="A1:G43"/>
  <sheetViews>
    <sheetView showGridLines="0" view="pageLayout" zoomScaleNormal="100" workbookViewId="0"/>
  </sheetViews>
  <sheetFormatPr defaultColWidth="9.140625" defaultRowHeight="15" x14ac:dyDescent="0.25"/>
  <cols>
    <col min="1" max="1" width="3.5703125" style="2" customWidth="1"/>
    <col min="2" max="3" width="9.140625" style="2"/>
    <col min="4" max="4" width="45.85546875" style="2" customWidth="1"/>
    <col min="5" max="5" width="12.28515625" style="2" bestFit="1" customWidth="1"/>
    <col min="6" max="6" width="3.28515625" style="2" customWidth="1"/>
    <col min="7" max="7" width="2.4257812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29.25" customHeight="1" x14ac:dyDescent="0.25">
      <c r="A3" s="1"/>
      <c r="B3" s="93" t="s">
        <v>212</v>
      </c>
      <c r="C3" s="93"/>
      <c r="D3" s="93"/>
      <c r="E3" s="93"/>
      <c r="F3" s="93"/>
      <c r="G3" s="1"/>
    </row>
    <row r="4" spans="1:7" ht="15" customHeight="1" x14ac:dyDescent="0.25">
      <c r="A4" s="1"/>
      <c r="B4" s="93"/>
      <c r="C4" s="93"/>
      <c r="D4" s="93"/>
      <c r="E4" s="93"/>
      <c r="F4" s="93"/>
      <c r="G4" s="1"/>
    </row>
    <row r="5" spans="1:7" ht="15" customHeight="1" x14ac:dyDescent="0.25">
      <c r="A5" s="1"/>
      <c r="B5" s="61"/>
      <c r="C5" s="61"/>
      <c r="D5" s="61"/>
      <c r="E5" s="61"/>
      <c r="F5" s="61"/>
      <c r="G5" s="1"/>
    </row>
    <row r="6" spans="1:7" ht="15" customHeight="1" x14ac:dyDescent="0.25">
      <c r="A6" s="1"/>
      <c r="B6" s="61"/>
      <c r="C6" s="61"/>
      <c r="D6" s="61"/>
      <c r="E6" s="61"/>
      <c r="F6" s="6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100" t="s">
        <v>267</v>
      </c>
      <c r="C8" s="101"/>
      <c r="D8" s="101"/>
      <c r="E8" s="101"/>
      <c r="F8" s="102"/>
      <c r="G8" s="1"/>
    </row>
    <row r="9" spans="1:7" x14ac:dyDescent="0.25">
      <c r="A9" s="1"/>
      <c r="B9" s="105" t="s">
        <v>268</v>
      </c>
      <c r="C9" s="106"/>
      <c r="D9" s="107"/>
      <c r="E9" s="9">
        <v>25368142.618492514</v>
      </c>
      <c r="F9" s="14" t="s">
        <v>3</v>
      </c>
      <c r="G9" s="1"/>
    </row>
    <row r="10" spans="1:7" x14ac:dyDescent="0.25">
      <c r="A10" s="1"/>
      <c r="B10" s="105" t="s">
        <v>269</v>
      </c>
      <c r="C10" s="106"/>
      <c r="D10" s="107"/>
      <c r="E10" s="9">
        <v>3339573.4761436433</v>
      </c>
      <c r="F10" s="14" t="s">
        <v>3</v>
      </c>
      <c r="G10" s="1"/>
    </row>
    <row r="11" spans="1:7" x14ac:dyDescent="0.25">
      <c r="A11" s="1"/>
      <c r="B11" s="105" t="s">
        <v>270</v>
      </c>
      <c r="C11" s="106"/>
      <c r="D11" s="107"/>
      <c r="E11" s="9">
        <v>3339573.4761436433</v>
      </c>
      <c r="F11" s="14" t="s">
        <v>3</v>
      </c>
      <c r="G11" s="1"/>
    </row>
    <row r="12" spans="1:7" x14ac:dyDescent="0.25">
      <c r="A12" s="1"/>
      <c r="B12" s="105" t="s">
        <v>271</v>
      </c>
      <c r="C12" s="106"/>
      <c r="D12" s="107"/>
      <c r="E12" s="9">
        <v>16643911.173958719</v>
      </c>
      <c r="F12" s="14" t="s">
        <v>3</v>
      </c>
      <c r="G12" s="1"/>
    </row>
    <row r="13" spans="1:7" x14ac:dyDescent="0.25">
      <c r="A13" s="1"/>
      <c r="B13" s="38"/>
      <c r="C13" s="32"/>
      <c r="D13" s="32"/>
      <c r="E13" s="32"/>
      <c r="F13" s="20"/>
      <c r="G13" s="1"/>
    </row>
    <row r="14" spans="1:7" ht="51.75" customHeight="1" x14ac:dyDescent="0.25">
      <c r="A14" s="1"/>
      <c r="B14" s="90" t="s">
        <v>272</v>
      </c>
      <c r="C14" s="91"/>
      <c r="D14" s="91"/>
      <c r="E14" s="91"/>
      <c r="F14" s="92"/>
      <c r="G14" s="1"/>
    </row>
    <row r="15" spans="1:7" ht="27" customHeight="1" x14ac:dyDescent="0.25">
      <c r="A15" s="1"/>
      <c r="B15" s="1"/>
      <c r="C15" s="1"/>
      <c r="D15" s="1"/>
      <c r="E15" s="1"/>
      <c r="F15" s="1"/>
      <c r="G15" s="1"/>
    </row>
    <row r="16" spans="1:7" x14ac:dyDescent="0.25">
      <c r="A16" s="1"/>
      <c r="B16" s="100" t="s">
        <v>273</v>
      </c>
      <c r="C16" s="101"/>
      <c r="D16" s="101"/>
      <c r="E16" s="101"/>
      <c r="F16" s="102"/>
      <c r="G16" s="1"/>
    </row>
    <row r="17" spans="1:7" x14ac:dyDescent="0.25">
      <c r="A17" s="1"/>
      <c r="B17" s="105" t="s">
        <v>274</v>
      </c>
      <c r="C17" s="106"/>
      <c r="D17" s="107"/>
      <c r="E17" s="9">
        <v>0</v>
      </c>
      <c r="F17" s="14" t="s">
        <v>3</v>
      </c>
      <c r="G17" s="1"/>
    </row>
    <row r="18" spans="1:7" x14ac:dyDescent="0.25">
      <c r="A18" s="1"/>
      <c r="B18" s="105" t="s">
        <v>275</v>
      </c>
      <c r="C18" s="106"/>
      <c r="D18" s="107"/>
      <c r="E18" s="9">
        <v>0</v>
      </c>
      <c r="F18" s="14" t="s">
        <v>3</v>
      </c>
      <c r="G18" s="1"/>
    </row>
    <row r="19" spans="1:7" x14ac:dyDescent="0.25">
      <c r="A19" s="1"/>
      <c r="B19" s="38"/>
      <c r="C19" s="32"/>
      <c r="D19" s="32"/>
      <c r="E19" s="32"/>
      <c r="F19" s="20"/>
      <c r="G19" s="1"/>
    </row>
    <row r="20" spans="1:7" ht="29.25" customHeight="1" x14ac:dyDescent="0.25">
      <c r="A20" s="1"/>
      <c r="B20" s="90" t="s">
        <v>276</v>
      </c>
      <c r="C20" s="91"/>
      <c r="D20" s="91"/>
      <c r="E20" s="91"/>
      <c r="F20" s="92"/>
      <c r="G20" s="1"/>
    </row>
    <row r="21" spans="1:7" x14ac:dyDescent="0.25">
      <c r="A21" s="1"/>
      <c r="B21" s="1"/>
      <c r="C21" s="1"/>
      <c r="D21" s="1"/>
      <c r="E21" s="1"/>
      <c r="F21" s="1"/>
      <c r="G21" s="1"/>
    </row>
    <row r="22" spans="1:7" x14ac:dyDescent="0.25">
      <c r="A22" s="1"/>
      <c r="B22" s="56" t="s">
        <v>213</v>
      </c>
      <c r="C22" s="57"/>
      <c r="D22" s="57"/>
      <c r="E22" s="57"/>
      <c r="F22" s="58"/>
      <c r="G22" s="1"/>
    </row>
    <row r="23" spans="1:7" x14ac:dyDescent="0.25">
      <c r="A23" s="1"/>
      <c r="B23" s="62" t="s">
        <v>214</v>
      </c>
      <c r="C23" s="63"/>
      <c r="D23" s="64"/>
      <c r="E23" s="9">
        <v>71884855.445315406</v>
      </c>
      <c r="F23" s="14" t="s">
        <v>3</v>
      </c>
      <c r="G23" s="1"/>
    </row>
    <row r="24" spans="1:7" x14ac:dyDescent="0.25">
      <c r="A24" s="1"/>
      <c r="B24" s="62" t="s">
        <v>215</v>
      </c>
      <c r="C24" s="63"/>
      <c r="D24" s="64"/>
      <c r="E24" s="9">
        <v>57712973</v>
      </c>
      <c r="F24" s="14" t="s">
        <v>3</v>
      </c>
      <c r="G24" s="1"/>
    </row>
    <row r="25" spans="1:7" x14ac:dyDescent="0.25">
      <c r="A25" s="1"/>
      <c r="B25" s="62" t="s">
        <v>36</v>
      </c>
      <c r="C25" s="63"/>
      <c r="D25" s="64"/>
      <c r="E25" s="9">
        <v>0</v>
      </c>
      <c r="F25" s="14" t="s">
        <v>3</v>
      </c>
      <c r="G25" s="1"/>
    </row>
    <row r="26" spans="1:7" x14ac:dyDescent="0.25">
      <c r="A26" s="1"/>
      <c r="B26" s="59" t="s">
        <v>277</v>
      </c>
      <c r="C26" s="60"/>
      <c r="D26" s="67"/>
      <c r="E26" s="48">
        <f>E23-(E24-E25)</f>
        <v>14171882.445315406</v>
      </c>
      <c r="F26" s="17" t="s">
        <v>3</v>
      </c>
      <c r="G26" s="1"/>
    </row>
    <row r="27" spans="1:7" x14ac:dyDescent="0.25">
      <c r="A27" s="1"/>
      <c r="B27" s="38"/>
      <c r="C27" s="32"/>
      <c r="D27" s="32"/>
      <c r="E27" s="32"/>
      <c r="F27" s="20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00" t="s">
        <v>186</v>
      </c>
      <c r="C30" s="101"/>
      <c r="D30" s="101"/>
      <c r="E30" s="101"/>
      <c r="F30" s="102"/>
      <c r="G30" s="1"/>
    </row>
    <row r="31" spans="1:7" x14ac:dyDescent="0.25">
      <c r="A31" s="1"/>
      <c r="B31" s="116" t="s">
        <v>281</v>
      </c>
      <c r="C31" s="117"/>
      <c r="D31" s="118"/>
      <c r="E31" s="9">
        <v>3</v>
      </c>
      <c r="F31" s="14"/>
      <c r="G31" s="1"/>
    </row>
    <row r="32" spans="1:7" x14ac:dyDescent="0.25">
      <c r="A32" s="1"/>
      <c r="B32" s="116" t="s">
        <v>187</v>
      </c>
      <c r="C32" s="117"/>
      <c r="D32" s="118"/>
      <c r="E32" s="9">
        <f>IF(AND(E26&gt;0,E31&gt;0),0,
IF(AND(E26&lt;0,OR(E31=1,E31=3),ABS(E26)&lt;ABS(SUM(E9:E10,E12))),0,
IF(AND(E26&lt;0,OR(E31=1,E31=3),ABS(E26)&gt;ABS(SUM(E9:E10,E12))),(E26+SUM(E9:E10,E12)),
IF(AND(E26&lt;0,E31=2,ABS(E26)&lt;ABS(SUM(E10,E12))),0,
IF(AND(E26&lt;0,E31=2,ABS(E26)&gt;ABS(SUM(E10,E12))),(E26+SUM(E10,E12)),
IF(AND(E10&lt;0,E12&gt;0,E26&lt;0,ABS(E11)&gt;ABS(E12)),E26,
IF(AND(E10&lt;0,E12&gt;0,E26&lt;0,ABS(E11)&lt;ABS(E12),ABS(SUM(E11,E12))&gt;ABS(E26)),0,
IF(AND(E10&lt;0,E12&gt;0,E26&lt;0,ABS(E11)&lt;ABS(E12),ABS(SUM(E11,E12))&lt;ABS(E26)),(ABS(SUM(E11,E12))-ABS(E26)),
IF(AND(E10&gt;0,E12&gt;0,E26&lt;0,ABS(E12)&gt;ABS(E26)),0,
IF(AND(E10&gt;0,E12&gt;0,E26&lt;0,ABS(E12)&lt;ABS(E26)),(ABS(E12)-ABS(E26)),
IF(AND(E12&lt;0,E26&lt;0),E17+E18+E26,
IF(AND(E12&lt;0,E26&gt;0),E18+E17,
IF(AND(E12&gt;0,E26&gt;0),0,"Fejl")))))))))))))</f>
        <v>0</v>
      </c>
      <c r="F32" s="14" t="s">
        <v>3</v>
      </c>
      <c r="G32" s="1"/>
    </row>
    <row r="33" spans="1:7" x14ac:dyDescent="0.25">
      <c r="A33" s="1"/>
      <c r="B33" s="116" t="s">
        <v>120</v>
      </c>
      <c r="C33" s="117"/>
      <c r="D33" s="118"/>
      <c r="E33" s="9">
        <v>2</v>
      </c>
      <c r="F33" s="14" t="s">
        <v>21</v>
      </c>
      <c r="G33" s="1"/>
    </row>
    <row r="34" spans="1:7" x14ac:dyDescent="0.25">
      <c r="A34" s="1"/>
      <c r="B34" s="119" t="s">
        <v>188</v>
      </c>
      <c r="C34" s="119"/>
      <c r="D34" s="119"/>
      <c r="E34" s="10">
        <f>E32/E33</f>
        <v>0</v>
      </c>
      <c r="F34" s="17" t="s">
        <v>3</v>
      </c>
      <c r="G34" s="1"/>
    </row>
    <row r="35" spans="1:7" x14ac:dyDescent="0.25">
      <c r="A35" s="1"/>
      <c r="B35" s="120"/>
      <c r="C35" s="121"/>
      <c r="D35" s="121"/>
      <c r="E35" s="121"/>
      <c r="F35" s="122"/>
      <c r="G35" s="1"/>
    </row>
    <row r="36" spans="1:7" ht="75" customHeight="1" x14ac:dyDescent="0.25">
      <c r="A36" s="1"/>
      <c r="B36" s="90" t="s">
        <v>280</v>
      </c>
      <c r="C36" s="91"/>
      <c r="D36" s="91"/>
      <c r="E36" s="91"/>
      <c r="F36" s="92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</sheetData>
  <sheetProtection algorithmName="SHA-512" hashValue="H+9E6uV1mgSIAUIS/cPBdgHzCK4I8Ltfr3al5vTYUojGFYxP96qRoqO2o31cXgxC6w9S//FTaJay9pd+lLyPEA==" saltValue="+kKnWAmsamoDvLzOmcIW0A==" spinCount="100000" sheet="1" objects="1" scenarios="1"/>
  <mergeCells count="18">
    <mergeCell ref="B20:F20"/>
    <mergeCell ref="B30:F30"/>
    <mergeCell ref="B31:D31"/>
    <mergeCell ref="B3:F4"/>
    <mergeCell ref="B16:F16"/>
    <mergeCell ref="B17:D17"/>
    <mergeCell ref="B18:D18"/>
    <mergeCell ref="B8:F8"/>
    <mergeCell ref="B9:D9"/>
    <mergeCell ref="B10:D10"/>
    <mergeCell ref="B11:D11"/>
    <mergeCell ref="B12:D12"/>
    <mergeCell ref="B14:F14"/>
    <mergeCell ref="B32:D32"/>
    <mergeCell ref="B33:D33"/>
    <mergeCell ref="B34:D34"/>
    <mergeCell ref="B35:F35"/>
    <mergeCell ref="B36:F36"/>
  </mergeCells>
  <pageMargins left="0.79166666666666663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5"/>
  <dimension ref="A1:G49"/>
  <sheetViews>
    <sheetView showGridLines="0" view="pageLayout" zoomScaleNormal="100" workbookViewId="0"/>
  </sheetViews>
  <sheetFormatPr defaultColWidth="9.140625" defaultRowHeight="15" x14ac:dyDescent="0.25"/>
  <cols>
    <col min="1" max="1" width="3.5703125" style="2" customWidth="1"/>
    <col min="2" max="3" width="9.140625" style="2"/>
    <col min="4" max="4" width="45.5703125" style="2" customWidth="1"/>
    <col min="5" max="5" width="12.7109375" style="2" bestFit="1" customWidth="1"/>
    <col min="6" max="6" width="3.28515625" style="2" customWidth="1"/>
    <col min="7" max="7" width="2.4257812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29.25" customHeight="1" x14ac:dyDescent="0.25">
      <c r="A3" s="1"/>
      <c r="B3" s="93" t="s">
        <v>216</v>
      </c>
      <c r="C3" s="93"/>
      <c r="D3" s="93"/>
      <c r="E3" s="93"/>
      <c r="F3" s="93"/>
      <c r="G3" s="1"/>
    </row>
    <row r="4" spans="1:7" ht="15" customHeight="1" x14ac:dyDescent="0.25">
      <c r="A4" s="1"/>
      <c r="B4" s="93"/>
      <c r="C4" s="93"/>
      <c r="D4" s="93"/>
      <c r="E4" s="93"/>
      <c r="F4" s="93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1"/>
      <c r="C8" s="1"/>
      <c r="D8" s="1"/>
      <c r="E8" s="1"/>
      <c r="F8" s="1"/>
      <c r="G8" s="1"/>
    </row>
    <row r="9" spans="1:7" ht="15" customHeight="1" x14ac:dyDescent="0.25">
      <c r="A9" s="1"/>
      <c r="B9" s="100" t="s">
        <v>217</v>
      </c>
      <c r="C9" s="101"/>
      <c r="D9" s="101"/>
      <c r="E9" s="101"/>
      <c r="F9" s="102"/>
      <c r="G9" s="1"/>
    </row>
    <row r="10" spans="1:7" x14ac:dyDescent="0.25">
      <c r="A10" s="1"/>
      <c r="B10" s="90" t="s">
        <v>118</v>
      </c>
      <c r="C10" s="91"/>
      <c r="D10" s="92"/>
      <c r="E10" s="7">
        <v>0</v>
      </c>
      <c r="F10" s="8" t="s">
        <v>3</v>
      </c>
      <c r="G10" s="1"/>
    </row>
    <row r="11" spans="1:7" x14ac:dyDescent="0.25">
      <c r="A11" s="1"/>
      <c r="B11" s="105" t="s">
        <v>218</v>
      </c>
      <c r="C11" s="106"/>
      <c r="D11" s="107"/>
      <c r="E11" s="7">
        <v>0</v>
      </c>
      <c r="F11" s="8" t="s">
        <v>3</v>
      </c>
      <c r="G11" s="1"/>
    </row>
    <row r="12" spans="1:7" x14ac:dyDescent="0.25">
      <c r="A12" s="1"/>
      <c r="B12" s="103" t="s">
        <v>119</v>
      </c>
      <c r="C12" s="104"/>
      <c r="D12" s="123"/>
      <c r="E12" s="10">
        <f>E11-E10</f>
        <v>0</v>
      </c>
      <c r="F12" s="11" t="s">
        <v>3</v>
      </c>
      <c r="G12" s="1"/>
    </row>
    <row r="13" spans="1:7" x14ac:dyDescent="0.25">
      <c r="A13" s="1"/>
      <c r="B13" s="100" t="s">
        <v>109</v>
      </c>
      <c r="C13" s="101"/>
      <c r="D13" s="101"/>
      <c r="E13" s="101"/>
      <c r="F13" s="102"/>
      <c r="G13" s="1"/>
    </row>
    <row r="14" spans="1:7" x14ac:dyDescent="0.25">
      <c r="A14" s="1"/>
      <c r="B14" s="105" t="s">
        <v>219</v>
      </c>
      <c r="C14" s="106"/>
      <c r="D14" s="107"/>
      <c r="E14" s="9">
        <v>0</v>
      </c>
      <c r="F14" s="8" t="s">
        <v>3</v>
      </c>
      <c r="G14" s="1"/>
    </row>
    <row r="15" spans="1:7" x14ac:dyDescent="0.25">
      <c r="A15" s="1"/>
      <c r="B15" s="90" t="s">
        <v>220</v>
      </c>
      <c r="C15" s="91"/>
      <c r="D15" s="92"/>
      <c r="E15" s="9">
        <v>0</v>
      </c>
      <c r="F15" s="8" t="s">
        <v>3</v>
      </c>
      <c r="G15" s="1"/>
    </row>
    <row r="16" spans="1:7" x14ac:dyDescent="0.25">
      <c r="A16" s="1"/>
      <c r="B16" s="103" t="s">
        <v>119</v>
      </c>
      <c r="C16" s="104"/>
      <c r="D16" s="123"/>
      <c r="E16" s="10">
        <f>E15-E14</f>
        <v>0</v>
      </c>
      <c r="F16" s="11" t="s">
        <v>3</v>
      </c>
      <c r="G16" s="1"/>
    </row>
    <row r="17" spans="1:7" x14ac:dyDescent="0.25">
      <c r="A17" s="1"/>
      <c r="B17" s="38" t="s">
        <v>221</v>
      </c>
      <c r="C17" s="32"/>
      <c r="D17" s="32"/>
      <c r="E17" s="12">
        <f>E12+E16</f>
        <v>0</v>
      </c>
      <c r="F17" s="13" t="s">
        <v>3</v>
      </c>
      <c r="G17" s="1"/>
    </row>
    <row r="18" spans="1:7" x14ac:dyDescent="0.25">
      <c r="A18" s="1"/>
      <c r="B18" s="1"/>
      <c r="C18" s="1"/>
      <c r="D18" s="1"/>
      <c r="E18" s="1"/>
      <c r="F18" s="1"/>
      <c r="G18" s="1"/>
    </row>
    <row r="19" spans="1:7" x14ac:dyDescent="0.25">
      <c r="A19" s="1"/>
      <c r="B19" s="1"/>
      <c r="C19" s="1"/>
      <c r="D19" s="1"/>
      <c r="E19" s="1"/>
      <c r="F19" s="1"/>
      <c r="G19" s="1"/>
    </row>
    <row r="20" spans="1:7" x14ac:dyDescent="0.25">
      <c r="A20" s="1"/>
      <c r="B20" s="1"/>
      <c r="C20" s="1"/>
      <c r="D20" s="1"/>
      <c r="E20" s="1"/>
      <c r="F20" s="1"/>
      <c r="G20" s="1"/>
    </row>
    <row r="21" spans="1:7" x14ac:dyDescent="0.25">
      <c r="A21" s="1"/>
      <c r="B21" s="1"/>
      <c r="C21" s="1"/>
      <c r="D21" s="1"/>
      <c r="E21" s="1"/>
      <c r="F21" s="1"/>
      <c r="G21" s="1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</sheetData>
  <sheetProtection algorithmName="SHA-512" hashValue="HIiPGo3uTeyIusgZ3z8JZTdN7Xt820xwZgDWqR6QFU8hVvnxxUmWMJRlWSBZN4a3giUUdX/faCowGSPnI/l+fQ==" saltValue="KSrFVEh3L88StutmOMJWYg==" spinCount="100000" sheet="1" objects="1" scenarios="1"/>
  <mergeCells count="9">
    <mergeCell ref="B13:F13"/>
    <mergeCell ref="B16:D16"/>
    <mergeCell ref="B3:F4"/>
    <mergeCell ref="B10:D10"/>
    <mergeCell ref="B11:D11"/>
    <mergeCell ref="B14:D14"/>
    <mergeCell ref="B15:D15"/>
    <mergeCell ref="B9:F9"/>
    <mergeCell ref="B12:D12"/>
  </mergeCells>
  <pageMargins left="0.79166666666666663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0"/>
  <dimension ref="A1:I46"/>
  <sheetViews>
    <sheetView showGridLines="0" view="pageLayout" zoomScaleNormal="100" workbookViewId="0"/>
  </sheetViews>
  <sheetFormatPr defaultColWidth="9.140625" defaultRowHeight="15" x14ac:dyDescent="0.25"/>
  <cols>
    <col min="1" max="1" width="4.7109375" style="2" customWidth="1"/>
    <col min="2" max="2" width="22.5703125" style="2" customWidth="1"/>
    <col min="3" max="3" width="8.28515625" style="2" customWidth="1"/>
    <col min="4" max="6" width="10.7109375" style="2" customWidth="1"/>
    <col min="7" max="7" width="11.140625" style="2" customWidth="1"/>
    <col min="8" max="8" width="3.28515625" style="2" customWidth="1"/>
    <col min="9" max="9" width="4.85546875" style="2" customWidth="1"/>
    <col min="10" max="16384" width="9.140625" style="2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88" t="s">
        <v>177</v>
      </c>
      <c r="C3" s="88"/>
      <c r="D3" s="88"/>
      <c r="E3" s="88"/>
      <c r="F3" s="88"/>
      <c r="G3" s="88"/>
      <c r="H3" s="88"/>
      <c r="I3" s="1"/>
    </row>
    <row r="4" spans="1:9" ht="15" customHeight="1" x14ac:dyDescent="0.25">
      <c r="A4" s="1"/>
      <c r="B4" s="88"/>
      <c r="C4" s="88"/>
      <c r="D4" s="88"/>
      <c r="E4" s="88"/>
      <c r="F4" s="88"/>
      <c r="G4" s="88"/>
      <c r="H4" s="88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100" t="s">
        <v>178</v>
      </c>
      <c r="C8" s="101"/>
      <c r="D8" s="101"/>
      <c r="E8" s="101"/>
      <c r="F8" s="101"/>
      <c r="G8" s="101"/>
      <c r="H8" s="102"/>
      <c r="I8" s="1"/>
    </row>
    <row r="9" spans="1:9" ht="39.75" customHeight="1" x14ac:dyDescent="0.25">
      <c r="A9" s="1"/>
      <c r="B9" s="19" t="s">
        <v>0</v>
      </c>
      <c r="C9" s="19" t="s">
        <v>1</v>
      </c>
      <c r="D9" s="19" t="s">
        <v>11</v>
      </c>
      <c r="E9" s="11" t="s">
        <v>2</v>
      </c>
      <c r="F9" s="11" t="s">
        <v>12</v>
      </c>
      <c r="G9" s="11" t="s">
        <v>33</v>
      </c>
      <c r="H9" s="37"/>
      <c r="I9" s="1"/>
    </row>
    <row r="10" spans="1:9" x14ac:dyDescent="0.25">
      <c r="A10" s="1"/>
      <c r="B10" s="68" t="s">
        <v>282</v>
      </c>
      <c r="C10" s="50">
        <v>0</v>
      </c>
      <c r="D10" s="9">
        <v>0</v>
      </c>
      <c r="E10" s="9">
        <f>IFERROR(D10/C10,0)</f>
        <v>0</v>
      </c>
      <c r="F10" s="9">
        <v>0</v>
      </c>
      <c r="G10" s="9">
        <v>0</v>
      </c>
      <c r="H10" s="14" t="s">
        <v>3</v>
      </c>
      <c r="I10" s="1"/>
    </row>
    <row r="11" spans="1:9" x14ac:dyDescent="0.25">
      <c r="A11" s="1"/>
      <c r="B11" s="100" t="s">
        <v>179</v>
      </c>
      <c r="C11" s="101"/>
      <c r="D11" s="102"/>
      <c r="E11" s="12">
        <f>SUM(E10:E10)</f>
        <v>0</v>
      </c>
      <c r="F11" s="12">
        <f>SUM(F10:F10)</f>
        <v>0</v>
      </c>
      <c r="G11" s="12">
        <f>SUM(G10:G10)</f>
        <v>0</v>
      </c>
      <c r="H11" s="13" t="s">
        <v>3</v>
      </c>
      <c r="I11" s="1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1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</sheetData>
  <sheetProtection algorithmName="SHA-512" hashValue="Y2GxUWWWyRJSvkBbzIhicOk3mTLagY3yAA1jllkfpYCHWvYpVjd6xrJqOgY1eZneBYITUO3UBXbDa1OCl3u2bA==" saltValue="PLBx/SngSd0MjiwkNTPmvw==" spinCount="100000" sheet="1" objects="1" scenarios="1"/>
  <mergeCells count="3">
    <mergeCell ref="B3:H4"/>
    <mergeCell ref="B11:D11"/>
    <mergeCell ref="B8:H8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6"/>
  <dimension ref="A1:G49"/>
  <sheetViews>
    <sheetView showGridLines="0" view="pageLayout" zoomScaleNormal="100" workbookViewId="0"/>
  </sheetViews>
  <sheetFormatPr defaultColWidth="9.140625" defaultRowHeight="15" x14ac:dyDescent="0.25"/>
  <cols>
    <col min="1" max="1" width="5.140625" style="2" customWidth="1"/>
    <col min="2" max="2" width="34.42578125" style="2" customWidth="1"/>
    <col min="3" max="3" width="16.28515625" style="2" customWidth="1"/>
    <col min="4" max="4" width="3.28515625" style="2" customWidth="1"/>
    <col min="5" max="5" width="19.140625" style="2" customWidth="1"/>
    <col min="6" max="6" width="3.28515625" style="2" customWidth="1"/>
    <col min="7" max="7" width="5.14062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88" t="s">
        <v>135</v>
      </c>
      <c r="C3" s="88"/>
      <c r="D3" s="88"/>
      <c r="E3" s="88"/>
      <c r="F3" s="88"/>
      <c r="G3" s="1"/>
    </row>
    <row r="4" spans="1:7" ht="15" customHeight="1" x14ac:dyDescent="0.25">
      <c r="A4" s="1"/>
      <c r="B4" s="88"/>
      <c r="C4" s="88"/>
      <c r="D4" s="88"/>
      <c r="E4" s="88"/>
      <c r="F4" s="88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38" t="s">
        <v>88</v>
      </c>
      <c r="C8" s="32"/>
      <c r="D8" s="32"/>
      <c r="E8" s="32"/>
      <c r="F8" s="20"/>
      <c r="G8" s="1"/>
    </row>
    <row r="9" spans="1:7" ht="17.25" customHeight="1" x14ac:dyDescent="0.25">
      <c r="A9" s="1"/>
      <c r="B9" s="54" t="s">
        <v>18</v>
      </c>
      <c r="C9" s="54" t="s">
        <v>12</v>
      </c>
      <c r="D9" s="55"/>
      <c r="E9" s="54" t="s">
        <v>34</v>
      </c>
      <c r="F9" s="37"/>
      <c r="G9" s="1"/>
    </row>
    <row r="10" spans="1:7" x14ac:dyDescent="0.25">
      <c r="A10" s="1"/>
      <c r="B10" s="25" t="s">
        <v>180</v>
      </c>
      <c r="C10" s="22">
        <f>'Fane 9. Anlægsprojekter'!F11</f>
        <v>0</v>
      </c>
      <c r="D10" s="14" t="s">
        <v>3</v>
      </c>
      <c r="E10" s="9">
        <f>SUM('Fane 9. Anlægsprojekter'!E11,'Fane 9. Anlægsprojekter'!G11)</f>
        <v>0</v>
      </c>
      <c r="F10" s="14" t="s">
        <v>3</v>
      </c>
      <c r="G10" s="1"/>
    </row>
    <row r="11" spans="1:7" x14ac:dyDescent="0.25">
      <c r="A11" s="1"/>
      <c r="B11" s="47" t="s">
        <v>279</v>
      </c>
      <c r="C11" s="22">
        <v>51497</v>
      </c>
      <c r="D11" s="14" t="s">
        <v>3</v>
      </c>
      <c r="E11" s="9">
        <v>134360</v>
      </c>
      <c r="F11" s="14" t="s">
        <v>3</v>
      </c>
      <c r="G11" s="1"/>
    </row>
    <row r="12" spans="1:7" x14ac:dyDescent="0.25">
      <c r="A12" s="1"/>
      <c r="B12" s="38" t="s">
        <v>163</v>
      </c>
      <c r="C12" s="12">
        <f>SUM(C10:C11)</f>
        <v>51497</v>
      </c>
      <c r="D12" s="13" t="s">
        <v>3</v>
      </c>
      <c r="E12" s="12">
        <f>SUM(E10:E11)</f>
        <v>134360</v>
      </c>
      <c r="F12" s="13" t="s">
        <v>3</v>
      </c>
      <c r="G12" s="1"/>
    </row>
    <row r="13" spans="1:7" x14ac:dyDescent="0.25">
      <c r="A13" s="1"/>
      <c r="B13" s="38" t="s">
        <v>222</v>
      </c>
      <c r="C13" s="12">
        <f>C12*(1+'Fane 14. Nøgletal'!C14)</f>
        <v>51666.940100000007</v>
      </c>
      <c r="D13" s="13" t="s">
        <v>3</v>
      </c>
      <c r="E13" s="12">
        <f>E12*(1+'Fane 14. Nøgletal'!C14)</f>
        <v>134803.38800000001</v>
      </c>
      <c r="F13" s="13" t="s">
        <v>3</v>
      </c>
      <c r="G13" s="1"/>
    </row>
    <row r="14" spans="1:7" x14ac:dyDescent="0.25">
      <c r="A14" s="1"/>
      <c r="B14" s="1"/>
      <c r="C14" s="1"/>
      <c r="D14" s="1"/>
      <c r="E14" s="1"/>
      <c r="F14" s="1"/>
      <c r="G14" s="1"/>
    </row>
    <row r="15" spans="1:7" x14ac:dyDescent="0.25">
      <c r="A15" s="1"/>
      <c r="B15" s="1"/>
      <c r="C15" s="1"/>
      <c r="D15" s="1"/>
      <c r="E15" s="1"/>
      <c r="F15" s="1"/>
      <c r="G15" s="1"/>
    </row>
    <row r="16" spans="1:7" x14ac:dyDescent="0.25">
      <c r="A16" s="1"/>
      <c r="B16" s="1"/>
      <c r="C16" s="1"/>
      <c r="D16" s="1"/>
      <c r="E16" s="1"/>
      <c r="F16" s="1"/>
      <c r="G16" s="1"/>
    </row>
    <row r="17" spans="1:7" x14ac:dyDescent="0.25">
      <c r="A17" s="1"/>
      <c r="B17" s="1"/>
      <c r="C17" s="1"/>
      <c r="D17" s="1"/>
      <c r="E17" s="1"/>
      <c r="F17" s="1"/>
      <c r="G17" s="1"/>
    </row>
    <row r="18" spans="1:7" x14ac:dyDescent="0.25">
      <c r="A18" s="1"/>
      <c r="B18" s="1"/>
      <c r="C18" s="1"/>
      <c r="D18" s="1"/>
      <c r="E18" s="1"/>
      <c r="F18" s="1"/>
      <c r="G18" s="1"/>
    </row>
    <row r="19" spans="1:7" x14ac:dyDescent="0.25">
      <c r="A19" s="1"/>
      <c r="B19" s="1"/>
      <c r="C19" s="1"/>
      <c r="D19" s="1"/>
      <c r="E19" s="1"/>
      <c r="F19" s="1"/>
      <c r="G19" s="1"/>
    </row>
    <row r="20" spans="1:7" x14ac:dyDescent="0.25">
      <c r="A20" s="1"/>
      <c r="B20" s="1"/>
      <c r="C20" s="1"/>
      <c r="D20" s="1"/>
      <c r="E20" s="1"/>
      <c r="F20" s="1"/>
      <c r="G20" s="1"/>
    </row>
    <row r="21" spans="1:7" x14ac:dyDescent="0.25">
      <c r="A21" s="1"/>
      <c r="B21" s="1"/>
      <c r="C21" s="1"/>
      <c r="D21" s="1"/>
      <c r="E21" s="1"/>
      <c r="F21" s="1"/>
      <c r="G21" s="1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</sheetData>
  <sheetProtection algorithmName="SHA-512" hashValue="oWmt59f+LUsn4kv/dc1XwwhyhPNDMTOaxYvPDKZBZyWi/Oa/jZN1snsQwlCOFLXQlrVmyWBjNYcVn5hh23P3RQ==" saltValue="Zi1x4QK/iS8i3YUgfLAAmQ==" spinCount="100000" sheet="1" objects="1" scenarios="1"/>
  <mergeCells count="1">
    <mergeCell ref="B3:F4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7"/>
  <dimension ref="A1:G42"/>
  <sheetViews>
    <sheetView showGridLines="0" view="pageLayout" zoomScaleNormal="100" workbookViewId="0"/>
  </sheetViews>
  <sheetFormatPr defaultColWidth="9.140625" defaultRowHeight="15" x14ac:dyDescent="0.25"/>
  <cols>
    <col min="1" max="1" width="5.140625" style="2" customWidth="1"/>
    <col min="2" max="2" width="34.42578125" style="2" customWidth="1"/>
    <col min="3" max="3" width="16.28515625" style="2" customWidth="1"/>
    <col min="4" max="4" width="3.42578125" style="2" bestFit="1" customWidth="1"/>
    <col min="5" max="5" width="17.7109375" style="2" bestFit="1" customWidth="1"/>
    <col min="6" max="6" width="3.28515625" style="2" customWidth="1"/>
    <col min="7" max="7" width="5.14062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88" t="s">
        <v>134</v>
      </c>
      <c r="C3" s="88"/>
      <c r="D3" s="88"/>
      <c r="E3" s="88"/>
      <c r="F3" s="88"/>
      <c r="G3" s="1"/>
    </row>
    <row r="4" spans="1:7" ht="15" customHeight="1" x14ac:dyDescent="0.25">
      <c r="A4" s="1"/>
      <c r="B4" s="88"/>
      <c r="C4" s="88"/>
      <c r="D4" s="88"/>
      <c r="E4" s="88"/>
      <c r="F4" s="88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100" t="s">
        <v>112</v>
      </c>
      <c r="C8" s="101"/>
      <c r="D8" s="101"/>
      <c r="E8" s="101"/>
      <c r="F8" s="102"/>
      <c r="G8" s="1"/>
    </row>
    <row r="9" spans="1:7" x14ac:dyDescent="0.25">
      <c r="A9" s="1"/>
      <c r="B9" s="54" t="s">
        <v>18</v>
      </c>
      <c r="C9" s="54" t="s">
        <v>12</v>
      </c>
      <c r="D9" s="55"/>
      <c r="E9" s="54" t="s">
        <v>34</v>
      </c>
      <c r="F9" s="37"/>
      <c r="G9" s="1"/>
    </row>
    <row r="10" spans="1:7" x14ac:dyDescent="0.25">
      <c r="A10" s="1"/>
      <c r="B10" s="25" t="s">
        <v>285</v>
      </c>
      <c r="C10" s="22">
        <v>0</v>
      </c>
      <c r="D10" s="14" t="s">
        <v>3</v>
      </c>
      <c r="E10" s="9">
        <v>0</v>
      </c>
      <c r="F10" s="14" t="s">
        <v>3</v>
      </c>
      <c r="G10" s="1"/>
    </row>
    <row r="11" spans="1:7" x14ac:dyDescent="0.25">
      <c r="A11" s="1"/>
      <c r="B11" s="38" t="s">
        <v>223</v>
      </c>
      <c r="C11" s="12">
        <f>SUM(C10:C10)</f>
        <v>0</v>
      </c>
      <c r="D11" s="13" t="s">
        <v>3</v>
      </c>
      <c r="E11" s="12">
        <f>SUM(E10:E10)</f>
        <v>0</v>
      </c>
      <c r="F11" s="13" t="s">
        <v>3</v>
      </c>
      <c r="G11" s="1"/>
    </row>
    <row r="12" spans="1:7" x14ac:dyDescent="0.25">
      <c r="A12" s="1"/>
      <c r="B12" s="27" t="s">
        <v>10</v>
      </c>
      <c r="C12" s="28">
        <f>-C11*'Fane 5. Individuelt eff. krav'!G12</f>
        <v>0</v>
      </c>
      <c r="D12" s="29" t="s">
        <v>3</v>
      </c>
      <c r="E12" s="28">
        <f>-E11*'Fane 5. Individuelt eff. krav'!G12</f>
        <v>0</v>
      </c>
      <c r="F12" s="29" t="s">
        <v>3</v>
      </c>
      <c r="G12" s="1"/>
    </row>
    <row r="13" spans="1:7" x14ac:dyDescent="0.25">
      <c r="A13" s="1"/>
      <c r="B13" s="27" t="s">
        <v>114</v>
      </c>
      <c r="C13" s="28">
        <f>-C11*'Fane 14. Nøgletal'!C29</f>
        <v>0</v>
      </c>
      <c r="D13" s="29" t="s">
        <v>3</v>
      </c>
      <c r="E13" s="28">
        <f>-E11*'Fane 14. Nøgletal'!C24</f>
        <v>0</v>
      </c>
      <c r="F13" s="29" t="s">
        <v>3</v>
      </c>
      <c r="G13" s="1"/>
    </row>
    <row r="14" spans="1:7" x14ac:dyDescent="0.25">
      <c r="A14" s="1"/>
      <c r="B14" s="38" t="s">
        <v>164</v>
      </c>
      <c r="C14" s="12">
        <f>SUM(C11:C13)*(1+'Fane 14. Nøgletal'!C14)^2</f>
        <v>0</v>
      </c>
      <c r="D14" s="13" t="s">
        <v>3</v>
      </c>
      <c r="E14" s="12">
        <f>SUM(E11:E13)*(1+'Fane 14. Nøgletal'!C14)^2</f>
        <v>0</v>
      </c>
      <c r="F14" s="13" t="s">
        <v>3</v>
      </c>
      <c r="G14" s="1"/>
    </row>
    <row r="15" spans="1:7" x14ac:dyDescent="0.25">
      <c r="A15" s="1"/>
      <c r="B15" s="1"/>
      <c r="C15" s="1"/>
      <c r="D15" s="1"/>
      <c r="E15" s="1"/>
      <c r="F15" s="1"/>
      <c r="G15" s="1"/>
    </row>
    <row r="16" spans="1:7" x14ac:dyDescent="0.25">
      <c r="A16" s="1"/>
      <c r="B16" s="100" t="s">
        <v>113</v>
      </c>
      <c r="C16" s="101"/>
      <c r="D16" s="101"/>
      <c r="E16" s="101"/>
      <c r="F16" s="102"/>
      <c r="G16" s="1"/>
    </row>
    <row r="17" spans="1:7" x14ac:dyDescent="0.25">
      <c r="A17" s="1"/>
      <c r="B17" s="54" t="s">
        <v>18</v>
      </c>
      <c r="C17" s="54" t="s">
        <v>12</v>
      </c>
      <c r="D17" s="55"/>
      <c r="E17" s="54" t="s">
        <v>34</v>
      </c>
      <c r="F17" s="37"/>
      <c r="G17" s="1"/>
    </row>
    <row r="18" spans="1:7" x14ac:dyDescent="0.25">
      <c r="A18" s="1"/>
      <c r="B18" s="25" t="s">
        <v>285</v>
      </c>
      <c r="C18" s="22">
        <v>0</v>
      </c>
      <c r="D18" s="14" t="s">
        <v>3</v>
      </c>
      <c r="E18" s="9">
        <v>0</v>
      </c>
      <c r="F18" s="14" t="s">
        <v>3</v>
      </c>
      <c r="G18" s="1"/>
    </row>
    <row r="19" spans="1:7" x14ac:dyDescent="0.25">
      <c r="A19" s="1"/>
      <c r="B19" s="38" t="s">
        <v>223</v>
      </c>
      <c r="C19" s="12">
        <f>SUM(C18:C18)</f>
        <v>0</v>
      </c>
      <c r="D19" s="13" t="s">
        <v>3</v>
      </c>
      <c r="E19" s="12">
        <f>SUM(E18:E18)</f>
        <v>0</v>
      </c>
      <c r="F19" s="13" t="s">
        <v>3</v>
      </c>
      <c r="G19" s="1"/>
    </row>
    <row r="20" spans="1:7" x14ac:dyDescent="0.25">
      <c r="A20" s="1"/>
      <c r="B20" s="27" t="s">
        <v>10</v>
      </c>
      <c r="C20" s="28">
        <f>-C19*'Fane 5. Individuelt eff. krav'!G12</f>
        <v>0</v>
      </c>
      <c r="D20" s="29" t="s">
        <v>3</v>
      </c>
      <c r="E20" s="28">
        <f>-E19*'Fane 5. Individuelt eff. krav'!G12</f>
        <v>0</v>
      </c>
      <c r="F20" s="29" t="s">
        <v>3</v>
      </c>
      <c r="G20" s="1"/>
    </row>
    <row r="21" spans="1:7" x14ac:dyDescent="0.25">
      <c r="A21" s="1"/>
      <c r="B21" s="27" t="s">
        <v>114</v>
      </c>
      <c r="C21" s="28">
        <f>-C19*'Fane 14. Nøgletal'!C29</f>
        <v>0</v>
      </c>
      <c r="D21" s="29" t="s">
        <v>3</v>
      </c>
      <c r="E21" s="28">
        <f>-E19*'Fane 14. Nøgletal'!C24</f>
        <v>0</v>
      </c>
      <c r="F21" s="29" t="s">
        <v>3</v>
      </c>
      <c r="G21" s="1"/>
    </row>
    <row r="22" spans="1:7" x14ac:dyDescent="0.25">
      <c r="A22" s="1"/>
      <c r="B22" s="38" t="s">
        <v>165</v>
      </c>
      <c r="C22" s="12">
        <f>SUM(C19:C21)*(1+'Fane 14. Nøgletal'!C14)^3</f>
        <v>0</v>
      </c>
      <c r="D22" s="13" t="s">
        <v>3</v>
      </c>
      <c r="E22" s="12">
        <f>SUM(E19:E21)*(1+'Fane 14. Nøgletal'!C14)^3</f>
        <v>0</v>
      </c>
      <c r="F22" s="13" t="s">
        <v>3</v>
      </c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00" t="s">
        <v>166</v>
      </c>
      <c r="C24" s="101"/>
      <c r="D24" s="101"/>
      <c r="E24" s="101"/>
      <c r="F24" s="102"/>
      <c r="G24" s="1"/>
    </row>
    <row r="25" spans="1:7" x14ac:dyDescent="0.25">
      <c r="A25" s="1"/>
      <c r="B25" s="54" t="s">
        <v>18</v>
      </c>
      <c r="C25" s="54" t="s">
        <v>12</v>
      </c>
      <c r="D25" s="55"/>
      <c r="E25" s="54" t="s">
        <v>34</v>
      </c>
      <c r="F25" s="37"/>
      <c r="G25" s="1"/>
    </row>
    <row r="26" spans="1:7" x14ac:dyDescent="0.25">
      <c r="A26" s="1"/>
      <c r="B26" s="25" t="s">
        <v>285</v>
      </c>
      <c r="C26" s="22">
        <v>0</v>
      </c>
      <c r="D26" s="14" t="s">
        <v>3</v>
      </c>
      <c r="E26" s="9">
        <v>0</v>
      </c>
      <c r="F26" s="14" t="s">
        <v>3</v>
      </c>
      <c r="G26" s="1"/>
    </row>
    <row r="27" spans="1:7" x14ac:dyDescent="0.25">
      <c r="A27" s="1"/>
      <c r="B27" s="38" t="s">
        <v>223</v>
      </c>
      <c r="C27" s="12">
        <f>SUM(C26:C26)</f>
        <v>0</v>
      </c>
      <c r="D27" s="13" t="s">
        <v>3</v>
      </c>
      <c r="E27" s="12">
        <f>SUM(E26:E26)</f>
        <v>0</v>
      </c>
      <c r="F27" s="13" t="s">
        <v>3</v>
      </c>
      <c r="G27" s="1"/>
    </row>
    <row r="28" spans="1:7" x14ac:dyDescent="0.25">
      <c r="A28" s="1"/>
      <c r="B28" s="27" t="s">
        <v>10</v>
      </c>
      <c r="C28" s="28">
        <f>-C27*'Fane 5. Individuelt eff. krav'!G12</f>
        <v>0</v>
      </c>
      <c r="D28" s="29" t="s">
        <v>3</v>
      </c>
      <c r="E28" s="28">
        <f>-E27*'Fane 5. Individuelt eff. krav'!G12</f>
        <v>0</v>
      </c>
      <c r="F28" s="29" t="s">
        <v>3</v>
      </c>
      <c r="G28" s="1"/>
    </row>
    <row r="29" spans="1:7" x14ac:dyDescent="0.25">
      <c r="A29" s="1"/>
      <c r="B29" s="27" t="s">
        <v>114</v>
      </c>
      <c r="C29" s="28">
        <f>-C27*'Fane 14. Nøgletal'!C29</f>
        <v>0</v>
      </c>
      <c r="D29" s="29" t="s">
        <v>3</v>
      </c>
      <c r="E29" s="28">
        <f>-E27*'Fane 14. Nøgletal'!C24</f>
        <v>0</v>
      </c>
      <c r="F29" s="29" t="s">
        <v>3</v>
      </c>
      <c r="G29" s="1"/>
    </row>
    <row r="30" spans="1:7" x14ac:dyDescent="0.25">
      <c r="A30" s="1"/>
      <c r="B30" s="38" t="s">
        <v>167</v>
      </c>
      <c r="C30" s="12">
        <f>SUM(C27:C29)*(1+'Fane 14. Nøgletal'!C14)^4</f>
        <v>0</v>
      </c>
      <c r="D30" s="13" t="s">
        <v>3</v>
      </c>
      <c r="E30" s="12">
        <f>SUM(E27:E29)*(1+'Fane 14. Nøgletal'!C14)^4</f>
        <v>0</v>
      </c>
      <c r="F30" s="13" t="s">
        <v>3</v>
      </c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00" t="s">
        <v>224</v>
      </c>
      <c r="C32" s="101"/>
      <c r="D32" s="101"/>
      <c r="E32" s="101"/>
      <c r="F32" s="102"/>
      <c r="G32" s="1"/>
    </row>
    <row r="33" spans="1:7" x14ac:dyDescent="0.25">
      <c r="A33" s="1"/>
      <c r="B33" s="54" t="s">
        <v>18</v>
      </c>
      <c r="C33" s="54" t="s">
        <v>12</v>
      </c>
      <c r="D33" s="55"/>
      <c r="E33" s="54" t="s">
        <v>34</v>
      </c>
      <c r="F33" s="37"/>
      <c r="G33" s="1"/>
    </row>
    <row r="34" spans="1:7" x14ac:dyDescent="0.25">
      <c r="A34" s="1"/>
      <c r="B34" s="25" t="s">
        <v>285</v>
      </c>
      <c r="C34" s="22">
        <v>0</v>
      </c>
      <c r="D34" s="14" t="s">
        <v>3</v>
      </c>
      <c r="E34" s="9">
        <v>0</v>
      </c>
      <c r="F34" s="14" t="s">
        <v>3</v>
      </c>
      <c r="G34" s="1"/>
    </row>
    <row r="35" spans="1:7" x14ac:dyDescent="0.25">
      <c r="A35" s="1"/>
      <c r="B35" s="38" t="s">
        <v>223</v>
      </c>
      <c r="C35" s="12">
        <f>SUM(C34:C34)</f>
        <v>0</v>
      </c>
      <c r="D35" s="13" t="s">
        <v>3</v>
      </c>
      <c r="E35" s="12">
        <f>SUM(E34:E34)</f>
        <v>0</v>
      </c>
      <c r="F35" s="13" t="s">
        <v>3</v>
      </c>
      <c r="G35" s="1"/>
    </row>
    <row r="36" spans="1:7" x14ac:dyDescent="0.25">
      <c r="A36" s="1"/>
      <c r="B36" s="27" t="s">
        <v>10</v>
      </c>
      <c r="C36" s="28">
        <f>-C35*'Fane 5. Individuelt eff. krav'!G12</f>
        <v>0</v>
      </c>
      <c r="D36" s="29" t="s">
        <v>3</v>
      </c>
      <c r="E36" s="28">
        <f>-E35*'Fane 5. Individuelt eff. krav'!G12</f>
        <v>0</v>
      </c>
      <c r="F36" s="29" t="s">
        <v>3</v>
      </c>
      <c r="G36" s="1"/>
    </row>
    <row r="37" spans="1:7" x14ac:dyDescent="0.25">
      <c r="A37" s="1"/>
      <c r="B37" s="27" t="s">
        <v>114</v>
      </c>
      <c r="C37" s="28">
        <f>-C35*'Fane 14. Nøgletal'!C29</f>
        <v>0</v>
      </c>
      <c r="D37" s="29" t="s">
        <v>3</v>
      </c>
      <c r="E37" s="28">
        <f>-E35*'Fane 14. Nøgletal'!C24</f>
        <v>0</v>
      </c>
      <c r="F37" s="29" t="s">
        <v>3</v>
      </c>
      <c r="G37" s="1"/>
    </row>
    <row r="38" spans="1:7" x14ac:dyDescent="0.25">
      <c r="A38" s="1"/>
      <c r="B38" s="38" t="s">
        <v>225</v>
      </c>
      <c r="C38" s="12">
        <f>SUM(C35:C37)*(1+'Fane 14. Nøgletal'!C14)^5</f>
        <v>0</v>
      </c>
      <c r="D38" s="13" t="s">
        <v>3</v>
      </c>
      <c r="E38" s="12">
        <f>SUM(E35:E37)*(1+'Fane 14. Nøgletal'!C14)^5</f>
        <v>0</v>
      </c>
      <c r="F38" s="13" t="s">
        <v>3</v>
      </c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</sheetData>
  <sheetProtection algorithmName="SHA-512" hashValue="Rj3mXsbmWz/E0WKgdHOu1NL8c2B4W8IHWTewo94r8NsBwNCClNHQjTDd3n2zHSNsS5k7vIHdI0Av9UObLy6sog==" saltValue="OPptMx4zwR6bwlE+Tt21RA==" spinCount="100000" sheet="1" objects="1" scenarios="1"/>
  <mergeCells count="5">
    <mergeCell ref="B3:F4"/>
    <mergeCell ref="B8:F8"/>
    <mergeCell ref="B16:F16"/>
    <mergeCell ref="B24:F24"/>
    <mergeCell ref="B32:F32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/>
  <dimension ref="A1:G50"/>
  <sheetViews>
    <sheetView showGridLines="0" view="pageLayout" zoomScaleNormal="100" workbookViewId="0"/>
  </sheetViews>
  <sheetFormatPr defaultColWidth="9.140625" defaultRowHeight="15" x14ac:dyDescent="0.25"/>
  <cols>
    <col min="1" max="1" width="5.140625" style="2" customWidth="1"/>
    <col min="2" max="2" width="34.42578125" style="2" customWidth="1"/>
    <col min="3" max="3" width="16.28515625" style="2" customWidth="1"/>
    <col min="4" max="4" width="3.28515625" style="2" customWidth="1"/>
    <col min="5" max="5" width="19.140625" style="2" customWidth="1"/>
    <col min="6" max="6" width="3.28515625" style="2" customWidth="1"/>
    <col min="7" max="7" width="5.14062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93" t="s">
        <v>136</v>
      </c>
      <c r="C3" s="93"/>
      <c r="D3" s="93"/>
      <c r="E3" s="93"/>
      <c r="F3" s="93"/>
      <c r="G3" s="1"/>
    </row>
    <row r="4" spans="1:7" ht="15" customHeight="1" x14ac:dyDescent="0.25">
      <c r="A4" s="1"/>
      <c r="B4" s="93"/>
      <c r="C4" s="93"/>
      <c r="D4" s="93"/>
      <c r="E4" s="93"/>
      <c r="F4" s="93"/>
      <c r="G4" s="1"/>
    </row>
    <row r="5" spans="1:7" x14ac:dyDescent="0.25">
      <c r="A5" s="1"/>
      <c r="B5" s="93"/>
      <c r="C5" s="93"/>
      <c r="D5" s="93"/>
      <c r="E5" s="93"/>
      <c r="F5" s="93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100" t="s">
        <v>103</v>
      </c>
      <c r="C8" s="101"/>
      <c r="D8" s="101"/>
      <c r="E8" s="101"/>
      <c r="F8" s="102"/>
      <c r="G8" s="1"/>
    </row>
    <row r="9" spans="1:7" x14ac:dyDescent="0.25">
      <c r="A9" s="1"/>
      <c r="B9" s="124" t="s">
        <v>226</v>
      </c>
      <c r="C9" s="125"/>
      <c r="D9" s="126"/>
      <c r="E9" s="9">
        <v>0</v>
      </c>
      <c r="F9" s="14" t="s">
        <v>3</v>
      </c>
      <c r="G9" s="1"/>
    </row>
    <row r="10" spans="1:7" x14ac:dyDescent="0.25">
      <c r="A10" s="1"/>
      <c r="B10" s="94" t="s">
        <v>10</v>
      </c>
      <c r="C10" s="95"/>
      <c r="D10" s="96"/>
      <c r="E10" s="9">
        <f>-E9*'Fane 5. Individuelt eff. krav'!G12</f>
        <v>0</v>
      </c>
      <c r="F10" s="14" t="s">
        <v>3</v>
      </c>
      <c r="G10" s="1"/>
    </row>
    <row r="11" spans="1:7" x14ac:dyDescent="0.25">
      <c r="A11" s="1"/>
      <c r="B11" s="94" t="s">
        <v>26</v>
      </c>
      <c r="C11" s="95"/>
      <c r="D11" s="96"/>
      <c r="E11" s="9">
        <f>-E9*'Fane 14. Nøgletal'!C29</f>
        <v>0</v>
      </c>
      <c r="F11" s="14" t="s">
        <v>3</v>
      </c>
      <c r="G11" s="1"/>
    </row>
    <row r="12" spans="1:7" x14ac:dyDescent="0.25">
      <c r="A12" s="1"/>
      <c r="B12" s="100" t="s">
        <v>105</v>
      </c>
      <c r="C12" s="101"/>
      <c r="D12" s="102"/>
      <c r="E12" s="12">
        <f>SUM(E9:E11)*(1+'Fane 14. Nøgletal'!C14)^2</f>
        <v>0</v>
      </c>
      <c r="F12" s="13" t="s">
        <v>3</v>
      </c>
      <c r="G12" s="1"/>
    </row>
    <row r="13" spans="1:7" x14ac:dyDescent="0.25">
      <c r="A13" s="1"/>
      <c r="B13" s="1"/>
      <c r="C13" s="1"/>
      <c r="D13" s="1"/>
      <c r="E13" s="1"/>
      <c r="F13" s="1"/>
      <c r="G13" s="1"/>
    </row>
    <row r="14" spans="1:7" x14ac:dyDescent="0.25">
      <c r="A14" s="1"/>
      <c r="B14" s="100" t="s">
        <v>104</v>
      </c>
      <c r="C14" s="101"/>
      <c r="D14" s="101"/>
      <c r="E14" s="101"/>
      <c r="F14" s="102"/>
      <c r="G14" s="1"/>
    </row>
    <row r="15" spans="1:7" ht="15" customHeight="1" x14ac:dyDescent="0.25">
      <c r="A15" s="1"/>
      <c r="B15" s="124" t="s">
        <v>226</v>
      </c>
      <c r="C15" s="125"/>
      <c r="D15" s="126"/>
      <c r="E15" s="9">
        <v>0</v>
      </c>
      <c r="F15" s="14" t="s">
        <v>3</v>
      </c>
      <c r="G15" s="1"/>
    </row>
    <row r="16" spans="1:7" x14ac:dyDescent="0.25">
      <c r="A16" s="1"/>
      <c r="B16" s="94" t="s">
        <v>10</v>
      </c>
      <c r="C16" s="95"/>
      <c r="D16" s="96"/>
      <c r="E16" s="9">
        <f>-E15*'Fane 5. Individuelt eff. krav'!G12</f>
        <v>0</v>
      </c>
      <c r="F16" s="14" t="s">
        <v>3</v>
      </c>
      <c r="G16" s="1"/>
    </row>
    <row r="17" spans="1:7" x14ac:dyDescent="0.25">
      <c r="A17" s="1"/>
      <c r="B17" s="94" t="s">
        <v>26</v>
      </c>
      <c r="C17" s="95"/>
      <c r="D17" s="96"/>
      <c r="E17" s="9">
        <f>-E15*'Fane 14. Nøgletal'!C29</f>
        <v>0</v>
      </c>
      <c r="F17" s="14" t="s">
        <v>3</v>
      </c>
      <c r="G17" s="1"/>
    </row>
    <row r="18" spans="1:7" x14ac:dyDescent="0.25">
      <c r="A18" s="1"/>
      <c r="B18" s="100" t="s">
        <v>106</v>
      </c>
      <c r="C18" s="101"/>
      <c r="D18" s="102"/>
      <c r="E18" s="12">
        <f>SUM(E15:E17)*(1+'Fane 14. Nøgletal'!C14)^3</f>
        <v>0</v>
      </c>
      <c r="F18" s="13" t="s">
        <v>3</v>
      </c>
      <c r="G18" s="1"/>
    </row>
    <row r="19" spans="1:7" x14ac:dyDescent="0.25">
      <c r="A19" s="1"/>
      <c r="B19" s="1"/>
      <c r="C19" s="1"/>
      <c r="D19" s="1"/>
      <c r="E19" s="1"/>
      <c r="F19" s="1"/>
      <c r="G19" s="1"/>
    </row>
    <row r="20" spans="1:7" x14ac:dyDescent="0.25">
      <c r="A20" s="1"/>
      <c r="B20" s="100" t="s">
        <v>155</v>
      </c>
      <c r="C20" s="101"/>
      <c r="D20" s="101"/>
      <c r="E20" s="101"/>
      <c r="F20" s="102"/>
      <c r="G20" s="1"/>
    </row>
    <row r="21" spans="1:7" ht="15" customHeight="1" x14ac:dyDescent="0.25">
      <c r="A21" s="1"/>
      <c r="B21" s="124" t="s">
        <v>226</v>
      </c>
      <c r="C21" s="125"/>
      <c r="D21" s="126"/>
      <c r="E21" s="9">
        <v>0</v>
      </c>
      <c r="F21" s="14" t="s">
        <v>3</v>
      </c>
      <c r="G21" s="1"/>
    </row>
    <row r="22" spans="1:7" x14ac:dyDescent="0.25">
      <c r="A22" s="1"/>
      <c r="B22" s="94" t="s">
        <v>10</v>
      </c>
      <c r="C22" s="95"/>
      <c r="D22" s="96"/>
      <c r="E22" s="9">
        <f>-E21*'Fane 5. Individuelt eff. krav'!G12</f>
        <v>0</v>
      </c>
      <c r="F22" s="14" t="s">
        <v>3</v>
      </c>
      <c r="G22" s="1"/>
    </row>
    <row r="23" spans="1:7" x14ac:dyDescent="0.25">
      <c r="A23" s="1"/>
      <c r="B23" s="94" t="s">
        <v>26</v>
      </c>
      <c r="C23" s="95"/>
      <c r="D23" s="96"/>
      <c r="E23" s="9">
        <f>-E21*'Fane 14. Nøgletal'!C29</f>
        <v>0</v>
      </c>
      <c r="F23" s="14" t="s">
        <v>3</v>
      </c>
      <c r="G23" s="1"/>
    </row>
    <row r="24" spans="1:7" x14ac:dyDescent="0.25">
      <c r="A24" s="1"/>
      <c r="B24" s="100" t="s">
        <v>156</v>
      </c>
      <c r="C24" s="101"/>
      <c r="D24" s="102"/>
      <c r="E24" s="12">
        <f>SUM(E21:E23)*(1+'Fane 14. Nøgletal'!C14)^4</f>
        <v>0</v>
      </c>
      <c r="F24" s="13" t="s">
        <v>3</v>
      </c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00" t="s">
        <v>227</v>
      </c>
      <c r="C26" s="101"/>
      <c r="D26" s="101"/>
      <c r="E26" s="101"/>
      <c r="F26" s="102"/>
      <c r="G26" s="1"/>
    </row>
    <row r="27" spans="1:7" ht="15" customHeight="1" x14ac:dyDescent="0.25">
      <c r="A27" s="1"/>
      <c r="B27" s="124" t="s">
        <v>226</v>
      </c>
      <c r="C27" s="125"/>
      <c r="D27" s="126"/>
      <c r="E27" s="9">
        <v>0</v>
      </c>
      <c r="F27" s="14" t="s">
        <v>3</v>
      </c>
      <c r="G27" s="1"/>
    </row>
    <row r="28" spans="1:7" x14ac:dyDescent="0.25">
      <c r="A28" s="1"/>
      <c r="B28" s="94" t="s">
        <v>10</v>
      </c>
      <c r="C28" s="95"/>
      <c r="D28" s="96"/>
      <c r="E28" s="9">
        <f>-E27*'Fane 5. Individuelt eff. krav'!G12</f>
        <v>0</v>
      </c>
      <c r="F28" s="14" t="s">
        <v>3</v>
      </c>
      <c r="G28" s="1"/>
    </row>
    <row r="29" spans="1:7" x14ac:dyDescent="0.25">
      <c r="A29" s="1"/>
      <c r="B29" s="94" t="s">
        <v>26</v>
      </c>
      <c r="C29" s="95"/>
      <c r="D29" s="96"/>
      <c r="E29" s="9">
        <f>-E27*'Fane 14. Nøgletal'!C29</f>
        <v>0</v>
      </c>
      <c r="F29" s="14" t="s">
        <v>3</v>
      </c>
      <c r="G29" s="1"/>
    </row>
    <row r="30" spans="1:7" x14ac:dyDescent="0.25">
      <c r="A30" s="1"/>
      <c r="B30" s="100" t="s">
        <v>228</v>
      </c>
      <c r="C30" s="101"/>
      <c r="D30" s="102"/>
      <c r="E30" s="12">
        <f>SUM(E27:E29)*(1+'Fane 14. Nøgletal'!C14)^5</f>
        <v>0</v>
      </c>
      <c r="F30" s="13" t="s">
        <v>3</v>
      </c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  <row r="50" spans="1:7" x14ac:dyDescent="0.25">
      <c r="A50" s="1"/>
      <c r="B50" s="1"/>
      <c r="C50" s="1"/>
      <c r="D50" s="1"/>
      <c r="E50" s="1"/>
      <c r="F50" s="1"/>
      <c r="G50" s="1"/>
    </row>
  </sheetData>
  <sheetProtection algorithmName="SHA-512" hashValue="X8XU39GyfKlM29zDI2eLFn4AU/cmK47PvJ4pV8QFnL0lC4YT7wipVKNtkLbIQ8+Y17e90/v0cgMsyZyarGDRcg==" saltValue="0NlON1zNwsyX3R6iM0DMbA==" spinCount="100000" sheet="1" objects="1" scenarios="1"/>
  <mergeCells count="21">
    <mergeCell ref="B30:D30"/>
    <mergeCell ref="B26:F26"/>
    <mergeCell ref="B27:D27"/>
    <mergeCell ref="B24:D24"/>
    <mergeCell ref="B21:D21"/>
    <mergeCell ref="B22:D22"/>
    <mergeCell ref="B23:D23"/>
    <mergeCell ref="B28:D28"/>
    <mergeCell ref="B29:D29"/>
    <mergeCell ref="B3:F5"/>
    <mergeCell ref="B8:F8"/>
    <mergeCell ref="B9:D9"/>
    <mergeCell ref="B18:D18"/>
    <mergeCell ref="B20:F20"/>
    <mergeCell ref="B14:F14"/>
    <mergeCell ref="B15:D15"/>
    <mergeCell ref="B12:D12"/>
    <mergeCell ref="B10:D10"/>
    <mergeCell ref="B11:D11"/>
    <mergeCell ref="B16:D16"/>
    <mergeCell ref="B17:D17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8"/>
  <dimension ref="A1:G45"/>
  <sheetViews>
    <sheetView showGridLines="0" view="pageLayout" zoomScaleNormal="100" workbookViewId="0"/>
  </sheetViews>
  <sheetFormatPr defaultColWidth="9.140625" defaultRowHeight="15" x14ac:dyDescent="0.25"/>
  <cols>
    <col min="1" max="1" width="5.42578125" style="2" customWidth="1"/>
    <col min="2" max="2" width="36.42578125" style="2" customWidth="1"/>
    <col min="3" max="3" width="15.5703125" style="2" customWidth="1"/>
    <col min="4" max="4" width="3.28515625" style="2" customWidth="1"/>
    <col min="5" max="5" width="17.140625" style="2" customWidth="1"/>
    <col min="6" max="6" width="3.28515625" style="2" customWidth="1"/>
    <col min="7" max="7" width="5.8554687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93" t="s">
        <v>157</v>
      </c>
      <c r="C3" s="93"/>
      <c r="D3" s="93"/>
      <c r="E3" s="93"/>
      <c r="F3" s="93"/>
      <c r="G3" s="1"/>
    </row>
    <row r="4" spans="1:7" ht="25.5" customHeight="1" x14ac:dyDescent="0.25">
      <c r="A4" s="1"/>
      <c r="B4" s="93"/>
      <c r="C4" s="93"/>
      <c r="D4" s="93"/>
      <c r="E4" s="93"/>
      <c r="F4" s="93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100" t="s">
        <v>158</v>
      </c>
      <c r="C8" s="101"/>
      <c r="D8" s="101"/>
      <c r="E8" s="101"/>
      <c r="F8" s="102"/>
      <c r="G8" s="1"/>
    </row>
    <row r="9" spans="1:7" ht="15" customHeight="1" x14ac:dyDescent="0.25">
      <c r="A9" s="1"/>
      <c r="B9" s="36" t="s">
        <v>159</v>
      </c>
      <c r="C9" s="36" t="s">
        <v>12</v>
      </c>
      <c r="D9" s="37"/>
      <c r="E9" s="36" t="s">
        <v>34</v>
      </c>
      <c r="F9" s="37"/>
      <c r="G9" s="1"/>
    </row>
    <row r="10" spans="1:7" x14ac:dyDescent="0.25">
      <c r="A10" s="1"/>
      <c r="B10" s="25" t="s">
        <v>261</v>
      </c>
      <c r="C10" s="9">
        <v>0</v>
      </c>
      <c r="D10" s="14" t="s">
        <v>3</v>
      </c>
      <c r="E10" s="9">
        <v>0</v>
      </c>
      <c r="F10" s="14" t="s">
        <v>3</v>
      </c>
      <c r="G10" s="1"/>
    </row>
    <row r="11" spans="1:7" ht="28.5" customHeight="1" x14ac:dyDescent="0.25">
      <c r="A11" s="1"/>
      <c r="B11" s="21" t="s">
        <v>168</v>
      </c>
      <c r="C11" s="12">
        <f>SUM(C10:C10)</f>
        <v>0</v>
      </c>
      <c r="D11" s="13" t="s">
        <v>3</v>
      </c>
      <c r="E11" s="12">
        <f>SUM(E10:E10)</f>
        <v>0</v>
      </c>
      <c r="F11" s="13" t="s">
        <v>3</v>
      </c>
      <c r="G11" s="1"/>
    </row>
    <row r="12" spans="1:7" ht="27" customHeight="1" x14ac:dyDescent="0.25">
      <c r="A12" s="1"/>
      <c r="B12" s="21" t="s">
        <v>229</v>
      </c>
      <c r="C12" s="12">
        <f>C11*(1+'Fane 14. Nøgletal'!C14)</f>
        <v>0</v>
      </c>
      <c r="D12" s="13" t="s">
        <v>3</v>
      </c>
      <c r="E12" s="12">
        <f>E11*(1+'Fane 14. Nøgletal'!C14)</f>
        <v>0</v>
      </c>
      <c r="F12" s="13" t="s">
        <v>3</v>
      </c>
      <c r="G12" s="1"/>
    </row>
    <row r="13" spans="1:7" x14ac:dyDescent="0.25">
      <c r="A13" s="1"/>
      <c r="B13" s="1"/>
      <c r="C13" s="1"/>
      <c r="D13" s="1"/>
      <c r="E13" s="1"/>
      <c r="F13" s="1"/>
      <c r="G13" s="1"/>
    </row>
    <row r="14" spans="1:7" x14ac:dyDescent="0.25">
      <c r="A14" s="1"/>
      <c r="B14" s="1"/>
      <c r="C14" s="1"/>
      <c r="D14" s="1"/>
      <c r="E14" s="1"/>
      <c r="F14" s="1"/>
      <c r="G14" s="1"/>
    </row>
    <row r="15" spans="1:7" x14ac:dyDescent="0.25">
      <c r="A15" s="1"/>
      <c r="B15" s="1"/>
      <c r="C15" s="1"/>
      <c r="D15" s="1"/>
      <c r="E15" s="1"/>
      <c r="F15" s="1"/>
      <c r="G15" s="1"/>
    </row>
    <row r="16" spans="1:7" x14ac:dyDescent="0.25">
      <c r="A16" s="1"/>
      <c r="B16" s="1"/>
      <c r="C16" s="1"/>
      <c r="D16" s="1"/>
      <c r="E16" s="1"/>
      <c r="F16" s="1"/>
      <c r="G16" s="1"/>
    </row>
    <row r="17" spans="1:7" x14ac:dyDescent="0.25">
      <c r="A17" s="1"/>
      <c r="B17" s="1"/>
      <c r="C17" s="1"/>
      <c r="D17" s="1"/>
      <c r="E17" s="1"/>
      <c r="F17" s="1"/>
      <c r="G17" s="1"/>
    </row>
    <row r="18" spans="1:7" x14ac:dyDescent="0.25">
      <c r="A18" s="1"/>
      <c r="B18" s="1"/>
      <c r="C18" s="1"/>
      <c r="D18" s="1"/>
      <c r="E18" s="1"/>
      <c r="F18" s="1"/>
      <c r="G18" s="1"/>
    </row>
    <row r="19" spans="1:7" x14ac:dyDescent="0.25">
      <c r="A19" s="1"/>
      <c r="B19" s="1"/>
      <c r="C19" s="1"/>
      <c r="D19" s="1"/>
      <c r="E19" s="1"/>
      <c r="F19" s="1"/>
      <c r="G19" s="1"/>
    </row>
    <row r="20" spans="1:7" x14ac:dyDescent="0.25">
      <c r="A20" s="1"/>
      <c r="B20" s="1"/>
      <c r="C20" s="1"/>
      <c r="D20" s="1"/>
      <c r="E20" s="1"/>
      <c r="F20" s="1"/>
      <c r="G20" s="1"/>
    </row>
    <row r="21" spans="1:7" x14ac:dyDescent="0.25">
      <c r="A21" s="1"/>
      <c r="B21" s="1"/>
      <c r="C21" s="1"/>
      <c r="D21" s="1"/>
      <c r="E21" s="1"/>
      <c r="F21" s="1"/>
      <c r="G21" s="1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</sheetData>
  <sheetProtection algorithmName="SHA-512" hashValue="Igu5U55Gb+O0t2w/dHuubnoBeBlP5Qg57K8mwwKM4OLZnjcBVKhsZJMai7MCtL5WYS2vOxPBz855FQqVOhlffw==" saltValue="vbODITVAlNtS9NDbVPV4gw==" spinCount="100000" sheet="1" objects="1" scenarios="1"/>
  <mergeCells count="2">
    <mergeCell ref="B3:F4"/>
    <mergeCell ref="B8:F8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4"/>
  <dimension ref="A1:G41"/>
  <sheetViews>
    <sheetView showGridLines="0" view="pageLayout" zoomScaleNormal="100" workbookViewId="0"/>
  </sheetViews>
  <sheetFormatPr defaultColWidth="9.140625" defaultRowHeight="15" x14ac:dyDescent="0.25"/>
  <cols>
    <col min="1" max="1" width="5.140625" style="2" customWidth="1"/>
    <col min="2" max="2" width="36.42578125" style="2" customWidth="1"/>
    <col min="3" max="3" width="15.7109375" style="2" customWidth="1"/>
    <col min="4" max="4" width="3.28515625" style="2" customWidth="1"/>
    <col min="5" max="5" width="18.42578125" style="2" customWidth="1"/>
    <col min="6" max="6" width="3.28515625" style="2" customWidth="1"/>
    <col min="7" max="7" width="5.14062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93" t="s">
        <v>133</v>
      </c>
      <c r="C3" s="93"/>
      <c r="D3" s="93"/>
      <c r="E3" s="93"/>
      <c r="F3" s="93"/>
      <c r="G3" s="1"/>
    </row>
    <row r="4" spans="1:7" ht="25.5" customHeight="1" x14ac:dyDescent="0.25">
      <c r="A4" s="1"/>
      <c r="B4" s="93"/>
      <c r="C4" s="93"/>
      <c r="D4" s="93"/>
      <c r="E4" s="93"/>
      <c r="F4" s="93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100" t="s">
        <v>107</v>
      </c>
      <c r="C8" s="101"/>
      <c r="D8" s="101"/>
      <c r="E8" s="101"/>
      <c r="F8" s="102"/>
      <c r="G8" s="1"/>
    </row>
    <row r="9" spans="1:7" ht="15" customHeight="1" x14ac:dyDescent="0.25">
      <c r="A9" s="1"/>
      <c r="B9" s="36" t="s">
        <v>19</v>
      </c>
      <c r="C9" s="36" t="s">
        <v>12</v>
      </c>
      <c r="D9" s="37"/>
      <c r="E9" s="36" t="s">
        <v>34</v>
      </c>
      <c r="F9" s="37"/>
      <c r="G9" s="1"/>
    </row>
    <row r="10" spans="1:7" x14ac:dyDescent="0.25">
      <c r="A10" s="1"/>
      <c r="B10" s="25" t="s">
        <v>266</v>
      </c>
      <c r="C10" s="9">
        <v>0</v>
      </c>
      <c r="D10" s="14" t="s">
        <v>3</v>
      </c>
      <c r="E10" s="9">
        <v>0</v>
      </c>
      <c r="F10" s="14" t="s">
        <v>3</v>
      </c>
      <c r="G10" s="1"/>
    </row>
    <row r="11" spans="1:7" x14ac:dyDescent="0.25">
      <c r="A11" s="1"/>
      <c r="B11" s="38" t="s">
        <v>98</v>
      </c>
      <c r="C11" s="12">
        <f>SUM(C10:C10)</f>
        <v>0</v>
      </c>
      <c r="D11" s="13" t="s">
        <v>3</v>
      </c>
      <c r="E11" s="12">
        <f>SUM(E10:E10)</f>
        <v>0</v>
      </c>
      <c r="F11" s="13" t="s">
        <v>3</v>
      </c>
      <c r="G11" s="1"/>
    </row>
    <row r="12" spans="1:7" x14ac:dyDescent="0.25">
      <c r="A12" s="1"/>
      <c r="B12" s="38" t="s">
        <v>99</v>
      </c>
      <c r="C12" s="12">
        <f>C11*(1+'Fane 14. Nøgletal'!C14)</f>
        <v>0</v>
      </c>
      <c r="D12" s="13" t="s">
        <v>3</v>
      </c>
      <c r="E12" s="12">
        <f>E11*(1+'Fane 14. Nøgletal'!C14)</f>
        <v>0</v>
      </c>
      <c r="F12" s="13" t="s">
        <v>3</v>
      </c>
      <c r="G12" s="1"/>
    </row>
    <row r="13" spans="1:7" x14ac:dyDescent="0.25">
      <c r="A13" s="1"/>
      <c r="B13" s="1"/>
      <c r="C13" s="1"/>
      <c r="D13" s="1"/>
      <c r="E13" s="1"/>
      <c r="F13" s="1"/>
      <c r="G13" s="1"/>
    </row>
    <row r="14" spans="1:7" x14ac:dyDescent="0.25">
      <c r="A14" s="1"/>
      <c r="B14" s="100" t="s">
        <v>108</v>
      </c>
      <c r="C14" s="101"/>
      <c r="D14" s="101"/>
      <c r="E14" s="101"/>
      <c r="F14" s="102"/>
      <c r="G14" s="1"/>
    </row>
    <row r="15" spans="1:7" ht="26.25" x14ac:dyDescent="0.25">
      <c r="A15" s="1"/>
      <c r="B15" s="36" t="s">
        <v>19</v>
      </c>
      <c r="C15" s="36" t="s">
        <v>12</v>
      </c>
      <c r="D15" s="37"/>
      <c r="E15" s="36" t="s">
        <v>34</v>
      </c>
      <c r="F15" s="37"/>
      <c r="G15" s="1"/>
    </row>
    <row r="16" spans="1:7" x14ac:dyDescent="0.25">
      <c r="A16" s="1"/>
      <c r="B16" s="25" t="s">
        <v>266</v>
      </c>
      <c r="C16" s="9">
        <v>0</v>
      </c>
      <c r="D16" s="14" t="s">
        <v>3</v>
      </c>
      <c r="E16" s="9">
        <v>0</v>
      </c>
      <c r="F16" s="14" t="s">
        <v>3</v>
      </c>
      <c r="G16" s="1"/>
    </row>
    <row r="17" spans="1:7" x14ac:dyDescent="0.25">
      <c r="A17" s="1"/>
      <c r="B17" s="38" t="s">
        <v>98</v>
      </c>
      <c r="C17" s="12">
        <f>SUM(C16:C16)</f>
        <v>0</v>
      </c>
      <c r="D17" s="13" t="s">
        <v>3</v>
      </c>
      <c r="E17" s="12">
        <f>SUM(E16:E16)</f>
        <v>0</v>
      </c>
      <c r="F17" s="13" t="s">
        <v>3</v>
      </c>
      <c r="G17" s="1"/>
    </row>
    <row r="18" spans="1:7" x14ac:dyDescent="0.25">
      <c r="A18" s="1"/>
      <c r="B18" s="38" t="s">
        <v>100</v>
      </c>
      <c r="C18" s="12">
        <f>C17*(1+'Fane 14. Nøgletal'!C14)^2</f>
        <v>0</v>
      </c>
      <c r="D18" s="13" t="s">
        <v>3</v>
      </c>
      <c r="E18" s="12">
        <f>E17*(1+'Fane 14. Nøgletal'!C14)^2</f>
        <v>0</v>
      </c>
      <c r="F18" s="13" t="s">
        <v>3</v>
      </c>
      <c r="G18" s="1"/>
    </row>
    <row r="19" spans="1:7" x14ac:dyDescent="0.25">
      <c r="A19" s="1"/>
      <c r="B19" s="1"/>
      <c r="C19" s="1"/>
      <c r="D19" s="1"/>
      <c r="E19" s="1"/>
      <c r="F19" s="1"/>
      <c r="G19" s="1"/>
    </row>
    <row r="20" spans="1:7" x14ac:dyDescent="0.25">
      <c r="A20" s="1"/>
      <c r="B20" s="100" t="s">
        <v>169</v>
      </c>
      <c r="C20" s="101"/>
      <c r="D20" s="101"/>
      <c r="E20" s="101"/>
      <c r="F20" s="102"/>
      <c r="G20" s="1"/>
    </row>
    <row r="21" spans="1:7" ht="26.25" x14ac:dyDescent="0.25">
      <c r="A21" s="1"/>
      <c r="B21" s="36" t="s">
        <v>19</v>
      </c>
      <c r="C21" s="36" t="s">
        <v>12</v>
      </c>
      <c r="D21" s="37"/>
      <c r="E21" s="36" t="s">
        <v>34</v>
      </c>
      <c r="F21" s="37"/>
      <c r="G21" s="1"/>
    </row>
    <row r="22" spans="1:7" x14ac:dyDescent="0.25">
      <c r="A22" s="1"/>
      <c r="B22" s="25" t="s">
        <v>266</v>
      </c>
      <c r="C22" s="9">
        <v>0</v>
      </c>
      <c r="D22" s="14" t="s">
        <v>3</v>
      </c>
      <c r="E22" s="9">
        <v>0</v>
      </c>
      <c r="F22" s="14" t="s">
        <v>3</v>
      </c>
      <c r="G22" s="1"/>
    </row>
    <row r="23" spans="1:7" x14ac:dyDescent="0.25">
      <c r="A23" s="1"/>
      <c r="B23" s="38" t="s">
        <v>98</v>
      </c>
      <c r="C23" s="12">
        <f>SUM(C22:C22)</f>
        <v>0</v>
      </c>
      <c r="D23" s="13" t="s">
        <v>3</v>
      </c>
      <c r="E23" s="12">
        <f>SUM(E22:E22)</f>
        <v>0</v>
      </c>
      <c r="F23" s="13" t="s">
        <v>3</v>
      </c>
      <c r="G23" s="1"/>
    </row>
    <row r="24" spans="1:7" x14ac:dyDescent="0.25">
      <c r="A24" s="1"/>
      <c r="B24" s="38" t="s">
        <v>170</v>
      </c>
      <c r="C24" s="12">
        <f>C23*(1+'Fane 14. Nøgletal'!C14)^3</f>
        <v>0</v>
      </c>
      <c r="D24" s="13" t="s">
        <v>3</v>
      </c>
      <c r="E24" s="12">
        <f>E23*(1+'Fane 14. Nøgletal'!C14)^3</f>
        <v>0</v>
      </c>
      <c r="F24" s="13" t="s">
        <v>3</v>
      </c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00" t="s">
        <v>231</v>
      </c>
      <c r="C26" s="101"/>
      <c r="D26" s="101"/>
      <c r="E26" s="101"/>
      <c r="F26" s="102"/>
      <c r="G26" s="1"/>
    </row>
    <row r="27" spans="1:7" ht="26.25" x14ac:dyDescent="0.25">
      <c r="A27" s="1"/>
      <c r="B27" s="36" t="s">
        <v>19</v>
      </c>
      <c r="C27" s="36" t="s">
        <v>12</v>
      </c>
      <c r="D27" s="37"/>
      <c r="E27" s="36" t="s">
        <v>34</v>
      </c>
      <c r="F27" s="37"/>
      <c r="G27" s="1"/>
    </row>
    <row r="28" spans="1:7" x14ac:dyDescent="0.25">
      <c r="A28" s="1"/>
      <c r="B28" s="25" t="s">
        <v>266</v>
      </c>
      <c r="C28" s="9">
        <v>0</v>
      </c>
      <c r="D28" s="14" t="s">
        <v>3</v>
      </c>
      <c r="E28" s="9">
        <v>0</v>
      </c>
      <c r="F28" s="14" t="s">
        <v>3</v>
      </c>
      <c r="G28" s="1"/>
    </row>
    <row r="29" spans="1:7" x14ac:dyDescent="0.25">
      <c r="A29" s="1"/>
      <c r="B29" s="38" t="s">
        <v>98</v>
      </c>
      <c r="C29" s="12">
        <f>SUM(C28:C28)</f>
        <v>0</v>
      </c>
      <c r="D29" s="13" t="s">
        <v>3</v>
      </c>
      <c r="E29" s="12">
        <f>SUM(E28:E28)</f>
        <v>0</v>
      </c>
      <c r="F29" s="13" t="s">
        <v>3</v>
      </c>
      <c r="G29" s="1"/>
    </row>
    <row r="30" spans="1:7" x14ac:dyDescent="0.25">
      <c r="A30" s="1"/>
      <c r="B30" s="38" t="s">
        <v>230</v>
      </c>
      <c r="C30" s="12">
        <f>C29*(1+'Fane 14. Nøgletal'!C14)^4</f>
        <v>0</v>
      </c>
      <c r="D30" s="13" t="s">
        <v>3</v>
      </c>
      <c r="E30" s="12">
        <f>E29*(1+'Fane 14. Nøgletal'!C14)^4</f>
        <v>0</v>
      </c>
      <c r="F30" s="13" t="s">
        <v>3</v>
      </c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</sheetData>
  <sheetProtection algorithmName="SHA-512" hashValue="dYCqSqvuKwBYJJQ1Bvijyh3dNT7C8KEERltzl0llQVyff18p0BBaqehsrqFLtD9VezO2/R+xmhh26aKwQy+sgw==" saltValue="eVj7JKFrpzse34x1zmuyww==" spinCount="100000" sheet="1" objects="1" scenarios="1"/>
  <mergeCells count="5">
    <mergeCell ref="B3:F4"/>
    <mergeCell ref="B8:F8"/>
    <mergeCell ref="B14:F14"/>
    <mergeCell ref="B20:F20"/>
    <mergeCell ref="B26:F26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9"/>
  <dimension ref="A1:D51"/>
  <sheetViews>
    <sheetView showGridLines="0" view="pageLayout" zoomScaleNormal="100" workbookViewId="0"/>
  </sheetViews>
  <sheetFormatPr defaultColWidth="9.140625" defaultRowHeight="15" x14ac:dyDescent="0.25"/>
  <cols>
    <col min="1" max="1" width="11.140625" style="2" customWidth="1"/>
    <col min="2" max="2" width="55.42578125" style="2" customWidth="1"/>
    <col min="3" max="3" width="6.28515625" style="2" customWidth="1"/>
    <col min="4" max="4" width="12.28515625" style="2" customWidth="1"/>
    <col min="5" max="16384" width="9.140625" style="2"/>
  </cols>
  <sheetData>
    <row r="1" spans="1:4" x14ac:dyDescent="0.25">
      <c r="A1" s="1"/>
      <c r="B1" s="1"/>
      <c r="C1" s="1"/>
      <c r="D1" s="1"/>
    </row>
    <row r="2" spans="1:4" x14ac:dyDescent="0.25">
      <c r="A2" s="1"/>
      <c r="B2" s="1"/>
      <c r="C2" s="1"/>
      <c r="D2" s="1"/>
    </row>
    <row r="3" spans="1:4" ht="15" customHeight="1" x14ac:dyDescent="0.25">
      <c r="A3" s="1"/>
      <c r="B3" s="93" t="s">
        <v>189</v>
      </c>
      <c r="C3" s="93"/>
      <c r="D3" s="1"/>
    </row>
    <row r="4" spans="1:4" ht="25.5" customHeight="1" x14ac:dyDescent="0.25">
      <c r="A4" s="1"/>
      <c r="B4" s="93"/>
      <c r="C4" s="93"/>
      <c r="D4" s="1"/>
    </row>
    <row r="5" spans="1:4" x14ac:dyDescent="0.25">
      <c r="A5" s="1"/>
      <c r="B5" s="1"/>
      <c r="C5" s="1"/>
      <c r="D5" s="1"/>
    </row>
    <row r="6" spans="1:4" x14ac:dyDescent="0.25">
      <c r="A6" s="1"/>
      <c r="B6" s="1"/>
      <c r="C6" s="1"/>
      <c r="D6" s="1"/>
    </row>
    <row r="7" spans="1:4" x14ac:dyDescent="0.25">
      <c r="A7" s="1"/>
      <c r="B7" s="1"/>
      <c r="C7" s="1"/>
      <c r="D7" s="1"/>
    </row>
    <row r="8" spans="1:4" x14ac:dyDescent="0.25">
      <c r="A8" s="1"/>
      <c r="B8" s="38" t="s">
        <v>15</v>
      </c>
      <c r="C8" s="20"/>
      <c r="D8" s="1"/>
    </row>
    <row r="9" spans="1:4" x14ac:dyDescent="0.25">
      <c r="A9" s="1"/>
      <c r="B9" s="65" t="s">
        <v>137</v>
      </c>
      <c r="C9" s="26">
        <v>1.2699999999999999E-2</v>
      </c>
      <c r="D9" s="1"/>
    </row>
    <row r="10" spans="1:4" x14ac:dyDescent="0.25">
      <c r="A10" s="1"/>
      <c r="B10" s="65" t="s">
        <v>138</v>
      </c>
      <c r="C10" s="26">
        <v>1.7500000000000002E-2</v>
      </c>
      <c r="D10" s="1"/>
    </row>
    <row r="11" spans="1:4" x14ac:dyDescent="0.25">
      <c r="A11" s="1"/>
      <c r="B11" s="65" t="s">
        <v>24</v>
      </c>
      <c r="C11" s="26">
        <v>1.6899999999999998E-2</v>
      </c>
      <c r="D11" s="1"/>
    </row>
    <row r="12" spans="1:4" x14ac:dyDescent="0.25">
      <c r="A12" s="1"/>
      <c r="B12" s="39" t="s">
        <v>254</v>
      </c>
      <c r="C12" s="40">
        <v>1.9699999999999999E-2</v>
      </c>
      <c r="D12" s="1"/>
    </row>
    <row r="13" spans="1:4" x14ac:dyDescent="0.25">
      <c r="A13" s="1"/>
      <c r="B13" s="39" t="s">
        <v>162</v>
      </c>
      <c r="C13" s="40">
        <v>1.2200000000000001E-2</v>
      </c>
      <c r="D13" s="1"/>
    </row>
    <row r="14" spans="1:4" x14ac:dyDescent="0.25">
      <c r="A14" s="1"/>
      <c r="B14" s="65" t="s">
        <v>253</v>
      </c>
      <c r="C14" s="51">
        <v>3.3E-3</v>
      </c>
      <c r="D14" s="1"/>
    </row>
    <row r="15" spans="1:4" x14ac:dyDescent="0.25">
      <c r="A15" s="1"/>
      <c r="B15" s="38"/>
      <c r="C15" s="20"/>
      <c r="D15" s="1"/>
    </row>
    <row r="16" spans="1:4" x14ac:dyDescent="0.25">
      <c r="A16" s="1"/>
      <c r="B16" s="1"/>
      <c r="C16" s="1"/>
      <c r="D16" s="1"/>
    </row>
    <row r="17" spans="1:4" x14ac:dyDescent="0.25">
      <c r="A17" s="1"/>
      <c r="B17" s="1"/>
      <c r="C17" s="1"/>
      <c r="D17" s="1"/>
    </row>
    <row r="18" spans="1:4" x14ac:dyDescent="0.25">
      <c r="A18" s="1"/>
      <c r="B18" s="38" t="s">
        <v>121</v>
      </c>
      <c r="C18" s="20"/>
      <c r="D18" s="1"/>
    </row>
    <row r="19" spans="1:4" x14ac:dyDescent="0.25">
      <c r="A19" s="1"/>
      <c r="B19" s="65" t="s">
        <v>139</v>
      </c>
      <c r="C19" s="23">
        <v>9.1000000000000004E-3</v>
      </c>
      <c r="D19" s="1"/>
    </row>
    <row r="20" spans="1:4" x14ac:dyDescent="0.25">
      <c r="A20" s="1"/>
      <c r="B20" s="65" t="s">
        <v>190</v>
      </c>
      <c r="C20" s="23">
        <v>1.77E-2</v>
      </c>
      <c r="D20" s="1"/>
    </row>
    <row r="21" spans="1:4" x14ac:dyDescent="0.25">
      <c r="A21" s="1"/>
      <c r="B21" s="65" t="s">
        <v>191</v>
      </c>
      <c r="C21" s="23">
        <v>8.6999999999999994E-3</v>
      </c>
      <c r="D21" s="1"/>
    </row>
    <row r="22" spans="1:4" x14ac:dyDescent="0.25">
      <c r="A22" s="1"/>
      <c r="B22" s="65" t="s">
        <v>140</v>
      </c>
      <c r="C22" s="41">
        <v>2.8400000000000002E-2</v>
      </c>
      <c r="D22" s="1"/>
    </row>
    <row r="23" spans="1:4" x14ac:dyDescent="0.25">
      <c r="A23" s="1"/>
      <c r="B23" s="65" t="s">
        <v>192</v>
      </c>
      <c r="C23" s="41">
        <v>2.75E-2</v>
      </c>
      <c r="D23" s="1"/>
    </row>
    <row r="24" spans="1:4" x14ac:dyDescent="0.25">
      <c r="A24" s="1"/>
      <c r="B24" s="65" t="s">
        <v>193</v>
      </c>
      <c r="C24" s="41">
        <v>1.4800000000000001E-2</v>
      </c>
      <c r="D24" s="1"/>
    </row>
    <row r="25" spans="1:4" x14ac:dyDescent="0.25">
      <c r="A25" s="1"/>
      <c r="B25" s="38"/>
      <c r="C25" s="20"/>
      <c r="D25" s="1"/>
    </row>
    <row r="26" spans="1:4" x14ac:dyDescent="0.25">
      <c r="A26" s="1"/>
      <c r="B26" s="1"/>
      <c r="C26" s="1"/>
      <c r="D26" s="1"/>
    </row>
    <row r="27" spans="1:4" x14ac:dyDescent="0.25">
      <c r="A27" s="1"/>
      <c r="B27" s="1"/>
      <c r="C27" s="1"/>
      <c r="D27" s="1"/>
    </row>
    <row r="28" spans="1:4" x14ac:dyDescent="0.25">
      <c r="A28" s="1"/>
      <c r="B28" s="38" t="s">
        <v>122</v>
      </c>
      <c r="C28" s="20"/>
      <c r="D28" s="1"/>
    </row>
    <row r="29" spans="1:4" x14ac:dyDescent="0.25">
      <c r="A29" s="1"/>
      <c r="B29" s="65" t="s">
        <v>141</v>
      </c>
      <c r="C29" s="26">
        <v>0.02</v>
      </c>
      <c r="D29" s="1"/>
    </row>
    <row r="30" spans="1:4" x14ac:dyDescent="0.25">
      <c r="A30" s="1"/>
      <c r="B30" s="38"/>
      <c r="C30" s="20"/>
      <c r="D30" s="1"/>
    </row>
    <row r="31" spans="1:4" x14ac:dyDescent="0.25">
      <c r="A31" s="1"/>
      <c r="B31" s="1"/>
      <c r="C31" s="1"/>
      <c r="D31" s="1"/>
    </row>
    <row r="32" spans="1:4" x14ac:dyDescent="0.25">
      <c r="A32" s="1"/>
      <c r="B32" s="1"/>
      <c r="C32" s="1"/>
      <c r="D32" s="1"/>
    </row>
    <row r="33" spans="1:4" x14ac:dyDescent="0.25">
      <c r="A33" s="1"/>
      <c r="B33" s="1"/>
      <c r="C33" s="1"/>
      <c r="D33" s="1"/>
    </row>
    <row r="34" spans="1:4" x14ac:dyDescent="0.25">
      <c r="A34" s="1"/>
      <c r="B34" s="1"/>
      <c r="C34" s="1"/>
      <c r="D34" s="1"/>
    </row>
    <row r="35" spans="1:4" x14ac:dyDescent="0.25">
      <c r="A35" s="1"/>
      <c r="B35" s="1"/>
      <c r="C35" s="1"/>
      <c r="D35" s="1"/>
    </row>
    <row r="36" spans="1:4" x14ac:dyDescent="0.25">
      <c r="A36" s="1"/>
      <c r="B36" s="1"/>
      <c r="C36" s="1"/>
      <c r="D36" s="1"/>
    </row>
    <row r="37" spans="1:4" x14ac:dyDescent="0.25">
      <c r="A37" s="1"/>
      <c r="B37" s="1"/>
      <c r="C37" s="1"/>
      <c r="D37" s="1"/>
    </row>
    <row r="38" spans="1:4" x14ac:dyDescent="0.25">
      <c r="A38" s="1"/>
      <c r="B38" s="1"/>
      <c r="C38" s="1"/>
      <c r="D38" s="1"/>
    </row>
    <row r="39" spans="1:4" x14ac:dyDescent="0.25">
      <c r="A39" s="1"/>
      <c r="B39" s="1"/>
      <c r="C39" s="1"/>
      <c r="D39" s="1"/>
    </row>
    <row r="40" spans="1:4" x14ac:dyDescent="0.25">
      <c r="A40" s="1"/>
      <c r="B40" s="1"/>
      <c r="C40" s="1"/>
      <c r="D40" s="1"/>
    </row>
    <row r="41" spans="1:4" x14ac:dyDescent="0.25">
      <c r="A41" s="1"/>
      <c r="B41" s="1"/>
      <c r="C41" s="1"/>
      <c r="D41" s="1"/>
    </row>
    <row r="42" spans="1:4" x14ac:dyDescent="0.25">
      <c r="A42" s="1"/>
      <c r="B42" s="1"/>
      <c r="C42" s="1"/>
      <c r="D42" s="1"/>
    </row>
    <row r="43" spans="1:4" x14ac:dyDescent="0.25">
      <c r="A43" s="1"/>
      <c r="B43" s="1"/>
      <c r="C43" s="1"/>
      <c r="D43" s="1"/>
    </row>
    <row r="44" spans="1:4" x14ac:dyDescent="0.25">
      <c r="A44" s="1"/>
      <c r="B44" s="1"/>
      <c r="C44" s="1"/>
      <c r="D44" s="1"/>
    </row>
    <row r="45" spans="1:4" x14ac:dyDescent="0.25">
      <c r="A45" s="1"/>
      <c r="B45" s="1"/>
      <c r="C45" s="1"/>
      <c r="D45" s="1"/>
    </row>
    <row r="46" spans="1:4" x14ac:dyDescent="0.25">
      <c r="A46" s="1"/>
      <c r="B46" s="1"/>
      <c r="C46" s="1"/>
      <c r="D46" s="1"/>
    </row>
    <row r="47" spans="1:4" x14ac:dyDescent="0.25">
      <c r="A47" s="1"/>
      <c r="B47" s="1"/>
      <c r="C47" s="1"/>
      <c r="D47" s="1"/>
    </row>
    <row r="48" spans="1:4" x14ac:dyDescent="0.25">
      <c r="A48" s="1"/>
      <c r="B48" s="1"/>
      <c r="C48" s="1"/>
      <c r="D48" s="1"/>
    </row>
    <row r="49" spans="1:4" x14ac:dyDescent="0.25">
      <c r="A49" s="1"/>
      <c r="B49" s="1"/>
      <c r="C49" s="1"/>
      <c r="D49" s="1"/>
    </row>
    <row r="50" spans="1:4" x14ac:dyDescent="0.25">
      <c r="A50" s="1"/>
      <c r="B50" s="1"/>
      <c r="C50" s="1"/>
      <c r="D50" s="1"/>
    </row>
    <row r="51" spans="1:4" x14ac:dyDescent="0.25">
      <c r="A51" s="1"/>
      <c r="B51" s="1"/>
      <c r="C51" s="1"/>
      <c r="D51" s="1"/>
    </row>
  </sheetData>
  <sheetProtection algorithmName="SHA-512" hashValue="aIicTcx68W1zfxEcvwgZeLU1kRnojMqhny0xtHfEJ0tKJEi6NbJnBR/Ia5LP9AHkyZVDHGb0VrNWoWpitCpaFw==" saltValue="vB4fIhV/G1WCRQrXf84MhA==" spinCount="100000" sheet="1" objects="1" scenarios="1"/>
  <mergeCells count="1">
    <mergeCell ref="B3:C4"/>
  </mergeCells>
  <pageMargins left="0.8125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19</vt:i4>
      </vt:variant>
    </vt:vector>
  </HeadingPairs>
  <TitlesOfParts>
    <vt:vector size="19" baseType="lpstr">
      <vt:lpstr>1. Forside</vt:lpstr>
      <vt:lpstr>Fane 2.1. Økonomisk ramme 2022</vt:lpstr>
      <vt:lpstr>Fane 2.2. Økonomisk ramme 2023</vt:lpstr>
      <vt:lpstr>Fane 2.3. Økonomisk ramme 2024</vt:lpstr>
      <vt:lpstr>Fane 2.4. Økonomisk ramme 2025</vt:lpstr>
      <vt:lpstr>Fane 3. Omkostninger i ØR2021</vt:lpstr>
      <vt:lpstr>Fane 4.1. Gen. krav - drift</vt:lpstr>
      <vt:lpstr>Fane 4.2. Gen. krav - anlæg</vt:lpstr>
      <vt:lpstr>Fane 5. Individuelt eff. krav</vt:lpstr>
      <vt:lpstr>Fane 6. Ikke-påvirkelige omk.</vt:lpstr>
      <vt:lpstr>Fane 7. Kontrol af ØR2020</vt:lpstr>
      <vt:lpstr>Fane 8. Korrektion af ØR2020</vt:lpstr>
      <vt:lpstr>Fane 9. Anlægsprojekter</vt:lpstr>
      <vt:lpstr>Fane 10.1. Varige tillæg</vt:lpstr>
      <vt:lpstr>Fane 10.2. Engangstillæg</vt:lpstr>
      <vt:lpstr>Fane 11. Periodevise driftsomk.</vt:lpstr>
      <vt:lpstr>Fane 12. Tilknyttet virksomhed</vt:lpstr>
      <vt:lpstr>Fane 13. Bortfald</vt:lpstr>
      <vt:lpstr>Fane 14. Nøgletal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Katrine Stagaard</dc:creator>
  <cp:lastModifiedBy>Katrine Stagaard</cp:lastModifiedBy>
  <cp:lastPrinted>2016-06-14T12:57:30Z</cp:lastPrinted>
  <dcterms:created xsi:type="dcterms:W3CDTF">2016-06-02T08:51:18Z</dcterms:created>
  <dcterms:modified xsi:type="dcterms:W3CDTF">2021-10-11T13:12:33Z</dcterms:modified>
</cp:coreProperties>
</file>