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Lejre AS (S061)\ØR2025\"/>
    </mc:Choice>
  </mc:AlternateContent>
  <xr:revisionPtr revIDLastSave="0" documentId="13_ncr:1_{5A3FDF72-6E8D-4017-8B3D-961DA5DDAA22}"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4" i="39"/>
  <c r="E15" i="39" s="1"/>
  <c r="C14" i="39"/>
  <c r="C15"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<sst xmlns="http://schemas.openxmlformats.org/spreadsheetml/2006/main" count="557" uniqueCount="238">
  <si>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</si>
  <si>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</si>
  <si>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</si>
  <si>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</si>
  <si>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</si>
  <si>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</si>
  <si>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</si>
  <si>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</si>
  <si>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</si>
  <si>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</si>
  <si>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</si>
  <si>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</si>
  <si>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</si>
  <si>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</si>
  <si>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</si>
  <si>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</si>
  <si>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</si>
  <si>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</si>
  <si>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</si>
  <si>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</si>
  <si>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</si>
  <si>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</si>
  <si>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</si>
  <si>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</si>
  <si>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</si>
  <si>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</si>
  <si>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</si>
  <si>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</si>
  <si>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</si>
  <si>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</si>
  <si>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</si>
  <si>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</si>
  <si>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</si>
  <si>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</si>
  <si>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</si>
  <si>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</si>
  <si>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</si>
  <si>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</si>
  <si>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</si>
  <si>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</si>
  <si>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</si>
  <si>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</si>
  <si>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</si>
  <si>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</si>
  <si>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</si>
  <si>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</si>
  <si>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</si>
  <si>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</si>
  <si>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</si>
  <si>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</si>
  <si>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</si>
  <si>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</si>
  <si>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</si>
  <si>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</si>
  <si>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</si>
  <si>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</si>
  <si>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</si>
  <si>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</si>
  <si>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</si>
  <si>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</si>
  <si>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</si>
  <si>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</si>
  <si>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</si>
  <si>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</si>
  <si>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</si>
  <si>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</si>
  <si>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</si>
  <si>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</si>
  <si>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</si>
  <si>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</si>
  <si>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</si>
  <si>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</si>
  <si>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</si>
  <si>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</si>
  <si>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</si>
  <si>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</si>
  <si>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</si>
  <si>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</si>
  <si>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</si>
  <si>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</si>
  <si>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</si>
  <si>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</si>
  <si>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</si>
  <si>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</si>
  <si>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</si>
  <si>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</si>
  <si>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</si>
  <si>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</si>
  <si>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</si>
  <si>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</si>
  <si>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</si>
  <si>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</si>
  <si>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</si>
  <si>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</si>
  <si>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</si>
  <si>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</si>
  <si>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</si>
  <si>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</si>
  <si>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</si>
  <si>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</si>
  <si>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</si>
  <si>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</si>
  <si>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</si>
  <si>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</si>
  <si>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</si>
  <si>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</si>
  <si>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</si>
  <si>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</si>
  <si>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</si>
  <si>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</si>
  <si>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</si>
  <si>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</si>
  <si>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</si>
  <si>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</si>
  <si>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</si>
  <si>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</si>
  <si>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</si>
  <si>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</si>
  <si>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</si>
  <si>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</si>
  <si>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</si>
  <si>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</si>
  <si>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</si>
  <si>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</si>
  <si>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</si>
  <si>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</si>
  <si>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</si>
  <si>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</si>
  <si>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</si>
  <si>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</si>
  <si>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</si>
  <si>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</si>
  <si>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</si>
  <si>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</si>
  <si>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</si>
  <si>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</si>
  <si>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</si>
  <si>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</si>
  <si>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</si>
  <si>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</si>
  <si>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</si>
  <si>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</si>
  <si>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</si>
  <si>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</si>
  <si>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</si>
  <si>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</si>
  <si>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</si>
  <si>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</si>
  <si>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</si>
  <si>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</si>
  <si>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</si>
  <si>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</si>
  <si>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</si>
  <si>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</si>
  <si>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</si>
  <si>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</si>
  <si>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</si>
  <si>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</si>
  <si>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</si>
  <si>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</si>
  <si>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</si>
  <si>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</si>
  <si>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</si>
  <si>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</si>
  <si>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</si>
  <si>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</si>
  <si>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</si>
  <si>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</si>
  <si>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</si>
  <si>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</si>
  <si>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</si>
  <si>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</si>
  <si>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</si>
  <si>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</si>
  <si>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</si>
  <si>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</si>
  <si>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</si>
  <si>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</si>
  <si>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</si>
  <si>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</si>
  <si>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</si>
  <si>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</si>
  <si>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</si>
  <si>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</si>
  <si>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</si>
  <si>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</si>
  <si>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</si>
  <si>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</si>
  <si>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</si>
  <si>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</si>
  <si>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</si>
  <si>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</si>
  <si>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</si>
  <si>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</si>
  <si>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</si>
  <si>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</si>
  <si>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</si>
  <si>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</si>
  <si>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</si>
  <si>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</si>
  <si>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</si>
  <si>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</si>
  <si>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</si>
  <si>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</si>
  <si>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</si>
  <si>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</si>
  <si>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</si>
  <si>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</si>
  <si>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</si>
  <si>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</si>
  <si>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</si>
  <si>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</si>
  <si>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</si>
  <si>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</si>
  <si>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</si>
  <si>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</si>
  <si>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</si>
  <si>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</si>
  <si>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</si>
  <si>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</si>
  <si>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</si>
  <si>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</si>
  <si>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</si>
  <si>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</si>
  <si>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</si>
  <si>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</si>
  <si>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</si>
  <si>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Spildevandsafgift</t>
  </si>
  <si>
    <t>Afgift til Forsyningssekretariatet</t>
  </si>
  <si>
    <t>Køb af ydelser og produkter fra andre vandselskaber reguleret af vandsektorloven</t>
  </si>
  <si>
    <t>Ejendomsskatter</t>
  </si>
  <si>
    <t>Erstatninger</t>
  </si>
  <si>
    <t>Gebyr til Miljøstyrelsen</t>
  </si>
  <si>
    <t>FSL- Byggemodninger og Stikledninger 2023</t>
  </si>
  <si>
    <t>FSL-Byggemodninger og Stikledninger 2023</t>
  </si>
  <si>
    <t>Periodevise driftsomkostninger (1 Lyndby)</t>
  </si>
  <si>
    <t>Periodevise driftsomkostninger (4 Lyndby)</t>
  </si>
  <si>
    <t>Periodevise driftsomkostninger (Præstholmvej)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</si>
</sst>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66"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226</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9yTCp8PDh/Oq7laR0hDeAfGRyHjkNl1/GpDl0WGXNNVbeqqtb1ZPnqYV2lBt+piQkIxaq/ifRFQUf0mg4nvrhg==" saltValue="Hi9ojQOrB60E+d20c7PIwA=="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227</v>
      </c>
      <c r="C10" s="73">
        <v>573580</v>
      </c>
      <c r="D10" s="14" t="s">
        <v>3</v>
      </c>
      <c r="E10" s="1"/>
    </row>
    <row r="11" spans="1:5" ht="15" customHeight="1" x14ac:dyDescent="0.25">
      <c r="A11" s="1"/>
      <c r="B11" s="72" t="s">
        <v>228</v>
      </c>
      <c r="C11" s="73">
        <v>60251</v>
      </c>
      <c r="D11" s="14" t="s">
        <v>3</v>
      </c>
      <c r="E11" s="1"/>
    </row>
    <row r="12" spans="1:5" ht="25.5" x14ac:dyDescent="0.25">
      <c r="A12" s="1"/>
      <c r="B12" s="72" t="s">
        <v>229</v>
      </c>
      <c r="C12" s="73">
        <v>14936</v>
      </c>
      <c r="D12" s="14" t="s">
        <v>3</v>
      </c>
      <c r="E12" s="1"/>
    </row>
    <row r="13" spans="1:5" x14ac:dyDescent="0.25">
      <c r="A13" s="1"/>
      <c r="B13" s="72" t="s">
        <v>230</v>
      </c>
      <c r="C13" s="73">
        <v>168383</v>
      </c>
      <c r="D13" s="14" t="s">
        <v>3</v>
      </c>
      <c r="E13" s="1"/>
    </row>
    <row r="14" spans="1:5" x14ac:dyDescent="0.25">
      <c r="A14" s="1"/>
      <c r="B14" s="72" t="s">
        <v>231</v>
      </c>
      <c r="C14" s="73">
        <v>47322</v>
      </c>
      <c r="D14" s="14" t="s">
        <v>3</v>
      </c>
      <c r="E14" s="1"/>
    </row>
    <row r="15" spans="1:5" x14ac:dyDescent="0.25">
      <c r="A15" s="1"/>
      <c r="B15" s="72" t="s">
        <v>232</v>
      </c>
      <c r="C15" s="73">
        <v>13734</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878206</v>
      </c>
      <c r="D20" s="13" t="s">
        <v>3</v>
      </c>
      <c r="E20" s="1"/>
    </row>
    <row r="21" spans="1:5" x14ac:dyDescent="0.25">
      <c r="A21" s="1"/>
      <c r="B21" s="33" t="s">
        <v>168</v>
      </c>
      <c r="C21" s="12">
        <f>C20*(1+'Fane 15. Nøgletal'!C10)^2</f>
        <v>998516.43693214003</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fDgKoaLxRTOGE5Y2boeEk96zDAoDvunF3LNAu4m9U5Vsx7TAkxfTxarmwdDPLkVO4e9orRn82isuzCa078lTVg==" saltValue="BauSv41jfwaeISYuiI07J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-1455186.9790004566</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-727593.48950022832</v>
      </c>
      <c r="D14" s="14" t="s">
        <v>3</v>
      </c>
      <c r="E14" s="1"/>
    </row>
    <row r="15" spans="1:5" x14ac:dyDescent="0.25">
      <c r="A15" s="1"/>
      <c r="B15" s="65" t="s">
        <v>203</v>
      </c>
      <c r="C15" s="9">
        <v>-727593.48950022832</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49933906.732163109</v>
      </c>
      <c r="D20" s="14" t="s">
        <v>3</v>
      </c>
      <c r="E20" s="1"/>
    </row>
    <row r="21" spans="1:5" x14ac:dyDescent="0.25">
      <c r="A21" s="1"/>
      <c r="B21" s="65" t="s">
        <v>207</v>
      </c>
      <c r="C21" s="9">
        <v>44175814</v>
      </c>
      <c r="D21" s="14" t="s">
        <v>3</v>
      </c>
      <c r="E21" s="1"/>
    </row>
    <row r="22" spans="1:5" x14ac:dyDescent="0.25">
      <c r="A22" s="1"/>
      <c r="B22" s="65" t="s">
        <v>29</v>
      </c>
      <c r="C22" s="9">
        <v>0</v>
      </c>
      <c r="D22" s="14" t="s">
        <v>3</v>
      </c>
      <c r="E22" s="1"/>
    </row>
    <row r="23" spans="1:5" x14ac:dyDescent="0.25">
      <c r="A23" s="1"/>
      <c r="B23" s="82" t="s">
        <v>208</v>
      </c>
      <c r="C23" s="57">
        <f>C20-C21-C22</f>
        <v>5758092.7321631089</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727593.48950022832</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sj8k0dfIMAzhGT6FT0M8T0OvpicK/Dmcx8r0kF0+AhOk891T7FoVqnXDRmM3h9gvmDIj68Fcs0S6eaegMwzIaQ==" saltValue="z+Km4k+nBkz7owBHmNKsK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aXh/fjvDZpx9ihLi7gaCfqX+FBYOaqXKXZiCeAA5ycmQ0iZnHWQUP2RCperKNkfdYUO8gcpxKRbTGUdRjXbXQ==" saltValue="nBsh6FdO4UoP9dBRIQMuL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217</v>
      </c>
      <c r="C12" s="109"/>
      <c r="D12" s="110"/>
      <c r="E12" s="1"/>
    </row>
    <row r="13" spans="1:5" ht="26.25" x14ac:dyDescent="0.25">
      <c r="A13" s="1"/>
      <c r="B13" s="79" t="s">
        <v>216</v>
      </c>
      <c r="C13" s="7"/>
      <c r="D13" s="8" t="s">
        <v>3</v>
      </c>
      <c r="E13" s="1"/>
    </row>
    <row r="14" spans="1:5" ht="14.25" customHeight="1" x14ac:dyDescent="0.25">
      <c r="A14" s="1"/>
      <c r="B14" s="65" t="s">
        <v>173</v>
      </c>
      <c r="C14" s="7"/>
      <c r="D14" s="8" t="s">
        <v>3</v>
      </c>
      <c r="E14" s="1"/>
    </row>
    <row r="15" spans="1:5" ht="14.25" customHeight="1" x14ac:dyDescent="0.25">
      <c r="A15" s="1"/>
      <c r="B15" s="82"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02nHp25bExMcP0+U6TxmLo+FiDkyppbxnrCUVbxn5156YJMxkvGJJDcYS7Ag0WD7Agx6ZuPlBDSQKvhw+bSv0Q==" saltValue="5X4hi/zPbZ7iWDZZk4rSr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qTWNhshbX824VnWLEfSgVLpmCLLqPsopWcYjicwVKdp95vThFeDrU8hZZDaCCXorAjVGGbaX75r1wk+Y0D/0SQ==" saltValue="JNCUs/a7UJ6qt/GwK2bZw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233</v>
      </c>
      <c r="C11" s="21">
        <v>490613</v>
      </c>
      <c r="D11" s="14" t="s">
        <v>3</v>
      </c>
      <c r="E11" s="9">
        <v>311068</v>
      </c>
      <c r="F11" s="14" t="s">
        <v>3</v>
      </c>
      <c r="G11" s="1"/>
    </row>
    <row r="12" spans="1:7" x14ac:dyDescent="0.25">
      <c r="A12" s="1"/>
      <c r="B12" s="24" t="s">
        <v>235</v>
      </c>
      <c r="C12" s="21">
        <v>37443</v>
      </c>
      <c r="D12" s="14" t="s">
        <v>3</v>
      </c>
      <c r="E12" s="9">
        <v>0</v>
      </c>
      <c r="F12" s="14" t="s">
        <v>3</v>
      </c>
      <c r="G12" s="1"/>
    </row>
    <row r="13" spans="1:7" x14ac:dyDescent="0.25">
      <c r="A13" s="1"/>
      <c r="B13" s="24" t="s">
        <v>236</v>
      </c>
      <c r="C13" s="21">
        <v>39481</v>
      </c>
      <c r="D13" s="14" t="s">
        <v>3</v>
      </c>
      <c r="E13" s="9">
        <v>0</v>
      </c>
      <c r="F13" s="14" t="s">
        <v>3</v>
      </c>
      <c r="G13" s="1"/>
    </row>
    <row r="14" spans="1:7" x14ac:dyDescent="0.25">
      <c r="A14" s="1"/>
      <c r="B14" s="24" t="s">
        <v>237</v>
      </c>
      <c r="C14" s="21">
        <v>279619</v>
      </c>
      <c r="D14" s="14" t="s">
        <v>3</v>
      </c>
      <c r="E14" s="9">
        <v>0</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847156</v>
      </c>
      <c r="D19" s="13" t="s">
        <v>3</v>
      </c>
      <c r="E19" s="12">
        <f>SUM(E10:E18)</f>
        <v>311068</v>
      </c>
      <c r="F19" s="13" t="s">
        <v>3</v>
      </c>
      <c r="G19" s="1"/>
    </row>
    <row r="20" spans="1:7" x14ac:dyDescent="0.25">
      <c r="A20" s="1"/>
      <c r="B20" s="33" t="s">
        <v>175</v>
      </c>
      <c r="C20" s="12">
        <f>C19*(1+'Fane 15. Nøgletal'!C10)</f>
        <v>903322.44280000008</v>
      </c>
      <c r="D20" s="13" t="s">
        <v>3</v>
      </c>
      <c r="E20" s="12">
        <f>E19*(1+'Fane 15. Nøgletal'!C10)</f>
        <v>331691.80839999998</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q5ATllUDAcMJkANZD/V4dgUT1rJ7Rl+cyHwCPZOZX2uUfUROivRrUtryCqzuqE368C6xhG3RZ/3Z4WpiiOAJQ==" saltValue="tTMEbsdcRBdr4QaKFhQA8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t="s">
        <v>234</v>
      </c>
      <c r="C10" s="21">
        <v>0</v>
      </c>
      <c r="D10" s="14" t="s">
        <v>3</v>
      </c>
      <c r="E10" s="9">
        <v>274922</v>
      </c>
      <c r="F10" s="14" t="s">
        <v>3</v>
      </c>
      <c r="G10" s="1"/>
    </row>
    <row r="11" spans="1:7" x14ac:dyDescent="0.25">
      <c r="A11" s="1"/>
      <c r="B11" s="24" t="s">
        <v>235</v>
      </c>
      <c r="C11" s="21">
        <v>224658</v>
      </c>
      <c r="D11" s="14" t="s">
        <v>3</v>
      </c>
      <c r="E11" s="9">
        <v>0</v>
      </c>
      <c r="F11" s="14" t="s">
        <v>3</v>
      </c>
      <c r="G11" s="1"/>
    </row>
    <row r="12" spans="1:7" x14ac:dyDescent="0.25">
      <c r="A12" s="1"/>
      <c r="B12" s="24" t="s">
        <v>236</v>
      </c>
      <c r="C12" s="21">
        <v>236886</v>
      </c>
      <c r="D12" s="14" t="s">
        <v>3</v>
      </c>
      <c r="E12" s="9">
        <v>0</v>
      </c>
      <c r="F12" s="14" t="s">
        <v>3</v>
      </c>
      <c r="G12" s="1"/>
    </row>
    <row r="13" spans="1:7" x14ac:dyDescent="0.25">
      <c r="A13" s="1"/>
      <c r="B13" s="24" t="s">
        <v>237</v>
      </c>
      <c r="C13" s="21">
        <v>2796194</v>
      </c>
      <c r="D13" s="14" t="s">
        <v>3</v>
      </c>
      <c r="E13" s="9">
        <v>0</v>
      </c>
      <c r="F13" s="14" t="s">
        <v>3</v>
      </c>
      <c r="G13" s="1"/>
    </row>
    <row r="14" spans="1:7" x14ac:dyDescent="0.25">
      <c r="A14" s="1"/>
      <c r="B14" s="33" t="s">
        <v>177</v>
      </c>
      <c r="C14" s="12">
        <f>SUM(C10:C13)</f>
        <v>3257738</v>
      </c>
      <c r="D14" s="13" t="s">
        <v>3</v>
      </c>
      <c r="E14" s="12">
        <f>SUM(E10:E13)</f>
        <v>274922</v>
      </c>
      <c r="F14" s="13" t="s">
        <v>3</v>
      </c>
      <c r="G14" s="1"/>
    </row>
    <row r="15" spans="1:7" x14ac:dyDescent="0.25">
      <c r="A15" s="1"/>
      <c r="B15" s="33" t="s">
        <v>178</v>
      </c>
      <c r="C15" s="12">
        <f>C14*(1+'Fane 15. Nøgletal'!C10)^2</f>
        <v>3704034.0651492202</v>
      </c>
      <c r="D15" s="13" t="s">
        <v>3</v>
      </c>
      <c r="E15" s="12">
        <f>E14*(1+'Fane 15. Nøgletal'!C10)^2</f>
        <v>312585.12908618001</v>
      </c>
      <c r="F15" s="13" t="s">
        <v>3</v>
      </c>
      <c r="G15" s="1"/>
    </row>
    <row r="16" spans="1:7" x14ac:dyDescent="0.25">
      <c r="A16" s="1"/>
      <c r="B16" s="1"/>
      <c r="C16" s="1"/>
      <c r="D16" s="1"/>
      <c r="E16" s="1"/>
      <c r="F16" s="1"/>
      <c r="G16" s="1"/>
    </row>
    <row r="17" spans="1:7" x14ac:dyDescent="0.25">
      <c r="A17" s="1"/>
      <c r="B17" s="127"/>
      <c r="C17" s="127"/>
      <c r="D17" s="127"/>
      <c r="E17" s="127"/>
      <c r="F17" s="127"/>
      <c r="G17" s="1"/>
    </row>
    <row r="18" spans="1:7" x14ac:dyDescent="0.25">
      <c r="A18" s="1"/>
      <c r="B18" s="47"/>
      <c r="C18" s="47"/>
      <c r="D18" s="47"/>
      <c r="E18" s="47"/>
      <c r="F18" s="48"/>
      <c r="G18" s="1"/>
    </row>
    <row r="19" spans="1:7" x14ac:dyDescent="0.25">
      <c r="A19" s="1"/>
      <c r="B19" s="49"/>
      <c r="C19" s="50"/>
      <c r="D19" s="51"/>
      <c r="E19" s="52"/>
      <c r="F19" s="51"/>
      <c r="G19" s="1"/>
    </row>
    <row r="20" spans="1:7" x14ac:dyDescent="0.25">
      <c r="A20" s="1"/>
      <c r="B20" s="49"/>
      <c r="C20" s="50"/>
      <c r="D20" s="51"/>
      <c r="E20" s="52"/>
      <c r="F20" s="51"/>
      <c r="G20" s="1"/>
    </row>
    <row r="21" spans="1:7" x14ac:dyDescent="0.25">
      <c r="A21" s="1"/>
      <c r="B21" s="53"/>
      <c r="C21" s="54"/>
      <c r="D21" s="55"/>
      <c r="E21" s="54"/>
      <c r="F21" s="55"/>
      <c r="G21" s="1"/>
    </row>
    <row r="22" spans="1:7" x14ac:dyDescent="0.25">
      <c r="A22" s="1"/>
      <c r="B22" s="53"/>
      <c r="C22" s="54"/>
      <c r="D22" s="55"/>
      <c r="E22" s="54"/>
      <c r="F22" s="55"/>
      <c r="G22" s="1"/>
    </row>
    <row r="23" spans="1:7" x14ac:dyDescent="0.25">
      <c r="A23" s="1"/>
      <c r="B23" s="46"/>
      <c r="C23" s="46"/>
      <c r="D23" s="46"/>
      <c r="E23" s="46"/>
      <c r="F23" s="46"/>
      <c r="G23" s="1"/>
    </row>
    <row r="24" spans="1:7" x14ac:dyDescent="0.25">
      <c r="A24" s="1"/>
      <c r="B24" s="47"/>
      <c r="C24" s="47"/>
      <c r="D24" s="47"/>
      <c r="E24" s="47"/>
      <c r="F24" s="48"/>
      <c r="G24" s="1"/>
    </row>
    <row r="25" spans="1:7" x14ac:dyDescent="0.25">
      <c r="A25" s="1"/>
      <c r="B25" s="49"/>
      <c r="C25" s="50"/>
      <c r="D25" s="51"/>
      <c r="E25" s="52"/>
      <c r="F25" s="51"/>
      <c r="G25" s="1"/>
    </row>
    <row r="26" spans="1:7" x14ac:dyDescent="0.25">
      <c r="A26" s="1"/>
      <c r="B26" s="49"/>
      <c r="C26" s="50"/>
      <c r="D26" s="51"/>
      <c r="E26" s="52"/>
      <c r="F26" s="51"/>
      <c r="G26" s="1"/>
    </row>
    <row r="27" spans="1:7" x14ac:dyDescent="0.25">
      <c r="A27" s="1"/>
      <c r="B27" s="53"/>
      <c r="C27" s="54"/>
      <c r="D27" s="55"/>
      <c r="E27" s="54"/>
      <c r="F27" s="55"/>
      <c r="G27" s="1"/>
    </row>
    <row r="28" spans="1:7" x14ac:dyDescent="0.25">
      <c r="A28" s="1"/>
      <c r="B28" s="53"/>
      <c r="C28" s="54"/>
      <c r="D28" s="55"/>
      <c r="E28" s="54"/>
      <c r="F28" s="55"/>
      <c r="G28" s="1"/>
    </row>
    <row r="29" spans="1:7" x14ac:dyDescent="0.25">
      <c r="A29" s="1"/>
      <c r="B29" s="46"/>
      <c r="C29" s="46"/>
      <c r="D29" s="46"/>
      <c r="E29" s="46"/>
      <c r="F29" s="46"/>
      <c r="G29" s="1"/>
    </row>
    <row r="30" spans="1:7" x14ac:dyDescent="0.25">
      <c r="A30" s="1"/>
      <c r="B30" s="127"/>
      <c r="C30" s="127"/>
      <c r="D30" s="127"/>
      <c r="E30" s="127"/>
      <c r="F30" s="127"/>
      <c r="G30" s="1"/>
    </row>
    <row r="31" spans="1:7" x14ac:dyDescent="0.25">
      <c r="A31" s="1"/>
      <c r="B31" s="47"/>
      <c r="C31" s="47"/>
      <c r="D31" s="47"/>
      <c r="E31" s="47"/>
      <c r="F31" s="48"/>
      <c r="G31" s="1"/>
    </row>
    <row r="32" spans="1:7" x14ac:dyDescent="0.25">
      <c r="A32" s="1"/>
      <c r="B32" s="49"/>
      <c r="C32" s="50"/>
      <c r="D32" s="51"/>
      <c r="E32" s="52"/>
      <c r="F32" s="51"/>
      <c r="G32" s="1"/>
    </row>
    <row r="33" spans="1:7" x14ac:dyDescent="0.25">
      <c r="A33" s="1"/>
      <c r="B33" s="49"/>
      <c r="C33" s="50"/>
      <c r="D33" s="51"/>
      <c r="E33" s="52"/>
      <c r="F33" s="51"/>
      <c r="G33" s="1"/>
    </row>
    <row r="34" spans="1:7" x14ac:dyDescent="0.25">
      <c r="A34" s="1"/>
      <c r="B34" s="53"/>
      <c r="C34" s="54"/>
      <c r="D34" s="55"/>
      <c r="E34" s="54"/>
      <c r="F34" s="55"/>
      <c r="G34" s="1"/>
    </row>
    <row r="35" spans="1:7" x14ac:dyDescent="0.25">
      <c r="A35" s="1"/>
      <c r="B35" s="53"/>
      <c r="C35" s="54"/>
      <c r="D35" s="55"/>
      <c r="E35" s="54"/>
      <c r="F35" s="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wBc81AfGpm8yGdT4ZiboRuLKecnDlbTenNRkkIffK6IRhlLUgIzim5MiyG9BDF/MKmYQOJBGZJKpb/ISGmb7Q==" saltValue="IqxNostnDZnzlBH5lGYZFg==" spinCount="100000" sheet="1" objects="1" scenarios="1"/>
  <mergeCells count="4">
    <mergeCell ref="B30:F30"/>
    <mergeCell ref="B3:F4"/>
    <mergeCell ref="B8:F8"/>
    <mergeCell ref="B17:F1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UK9m7kERKx9uYo7W8rrLi5WdU2+i7V0M53zcF71wyabtFDgv3Eyv3JdY5g+3DVcGJiE/cduUO5vG423KtfQjSg==" saltValue="BZLYAX4RqW8vUTKjTawc1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nbX1FQH/Ty+1QNHekeKW4a5dqZhsg76qdaWs84TipCKMgRzN9qbeFkG5R1P/MGGZhc5FasYsPnniTQyp2B0eig==" saltValue="ftDUohdU4tCKHA1R85UuFg=="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E1oEYV8+aFwIYDkVoZn9kWuL81ktIY/kYdAnBH5zyRJeX+9Q0hxLqpQqNjfEd28dQlmWIsNCRXoac620PiKSrA==" saltValue="4UAxqu2u3ULK05Cj2FMbV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51932415.525440142</v>
      </c>
      <c r="D9" s="8" t="s">
        <v>3</v>
      </c>
      <c r="E9" s="1"/>
    </row>
    <row r="10" spans="1:5" ht="17.25" customHeight="1" x14ac:dyDescent="0.25">
      <c r="A10" s="1"/>
      <c r="B10" s="64" t="s">
        <v>35</v>
      </c>
      <c r="C10" s="7">
        <f>'Fane 11.1. Varige tillæg'!C20</f>
        <v>903322.44280000008</v>
      </c>
      <c r="D10" s="8" t="s">
        <v>3</v>
      </c>
      <c r="E10" s="1"/>
    </row>
    <row r="11" spans="1:5" ht="17.25" customHeight="1" x14ac:dyDescent="0.25">
      <c r="A11" s="1"/>
      <c r="B11" s="64" t="s">
        <v>36</v>
      </c>
      <c r="C11" s="9">
        <f>'Fane 11.1. Varige tillæg'!E20</f>
        <v>331691.80839999998</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4278020.6193101238</v>
      </c>
      <c r="D16" s="8" t="s">
        <v>3</v>
      </c>
      <c r="E16" s="1"/>
    </row>
    <row r="17" spans="1:5" ht="17.25" customHeight="1" x14ac:dyDescent="0.25">
      <c r="A17" s="1"/>
      <c r="B17" s="64" t="s">
        <v>10</v>
      </c>
      <c r="C17" s="38">
        <f>-SUM(C9,C10:C16)*'Fane 5. Individuelt eff. krav'!C9</f>
        <v>-466013.47906655772</v>
      </c>
      <c r="D17" s="8" t="s">
        <v>3</v>
      </c>
      <c r="E17" s="1"/>
    </row>
    <row r="18" spans="1:5" ht="17.25" customHeight="1" x14ac:dyDescent="0.25">
      <c r="A18" s="1"/>
      <c r="B18" s="64" t="s">
        <v>22</v>
      </c>
      <c r="C18" s="38">
        <f>-'Fane 4.1. Gen. krav - drift'!C17</f>
        <v>-398636.19044309203</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56580800.726440616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998516.43693214003</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Engangstillæg'!C15</f>
        <v>3704034.0651492202</v>
      </c>
      <c r="D26" s="8" t="s">
        <v>3</v>
      </c>
      <c r="E26" s="1"/>
    </row>
    <row r="27" spans="1:5" ht="15" customHeight="1" x14ac:dyDescent="0.25">
      <c r="A27" s="1"/>
      <c r="B27" s="64" t="s">
        <v>38</v>
      </c>
      <c r="C27" s="38">
        <f>'Fane 11.2. Engangstillæg'!E15</f>
        <v>312585.12908618001</v>
      </c>
      <c r="D27" s="8" t="s">
        <v>3</v>
      </c>
      <c r="E27" s="1"/>
    </row>
    <row r="28" spans="1:5" ht="15" customHeight="1" x14ac:dyDescent="0.25">
      <c r="A28" s="1"/>
      <c r="B28" s="64" t="s">
        <v>92</v>
      </c>
      <c r="C28" s="38">
        <f>-C26*('Fane 15. Nøgletal'!C21+'Fane 5. Individuelt eff. krav'!C9)</f>
        <v>-104128.83636807064</v>
      </c>
      <c r="D28" s="8" t="s">
        <v>3</v>
      </c>
      <c r="E28" s="1"/>
    </row>
    <row r="29" spans="1:5" ht="15" customHeight="1" x14ac:dyDescent="0.25">
      <c r="A29" s="1"/>
      <c r="B29" s="64" t="s">
        <v>93</v>
      </c>
      <c r="C29" s="38">
        <f>-C27*('Fane 15. Nøgletal'!C16+'Fane 5. Individuelt eff. krav'!C9)</f>
        <v>-2535.7775508047721</v>
      </c>
      <c r="D29" s="8" t="s">
        <v>3</v>
      </c>
      <c r="E29" s="1"/>
    </row>
    <row r="30" spans="1:5" ht="15" customHeight="1" x14ac:dyDescent="0.25">
      <c r="A30" s="1"/>
      <c r="B30" s="67" t="s">
        <v>43</v>
      </c>
      <c r="C30" s="10">
        <f>SUM(C26:C29)</f>
        <v>3909954.580316525</v>
      </c>
      <c r="D30" s="11" t="s">
        <v>3</v>
      </c>
      <c r="E30" s="1"/>
    </row>
    <row r="31" spans="1:5" x14ac:dyDescent="0.25">
      <c r="A31" s="1"/>
      <c r="B31" s="33" t="s">
        <v>69</v>
      </c>
      <c r="C31" s="28"/>
      <c r="D31" s="19"/>
      <c r="E31" s="1"/>
    </row>
    <row r="32" spans="1:5" x14ac:dyDescent="0.25">
      <c r="A32" s="1"/>
      <c r="B32" s="31" t="s">
        <v>79</v>
      </c>
      <c r="C32" s="62">
        <f>'Fane 7. Kontrol af ØR2023'!C27</f>
        <v>727593.48950022832</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62216865.233189508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0NpPlqPbaD2tceKL1WNZEqZJJ5ZobtNL2Q974sf6zrPFj+I4Le8j0vibSSoMygrkAqXomQnhtZ2YKBfRLxSdQ==" saltValue="AR0Y9nKi7xAJ43VTlD1EY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aKg6WqlunTT4VTfCGU+8D7ijXttwpWHfy23lx5+qmNJ0N8k0v0mrjTPXtDm4m+lsrslIWngPogCe/GbeSsyuhQ==" saltValue="PvzJj0+79yayTTYX8YTTXw=="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56580800.726440616</v>
      </c>
      <c r="D9" s="8" t="s">
        <v>3</v>
      </c>
      <c r="E9" s="1"/>
    </row>
    <row r="10" spans="1:5" ht="15" customHeight="1" x14ac:dyDescent="0.25">
      <c r="A10" s="1"/>
      <c r="B10" s="26" t="s">
        <v>19</v>
      </c>
      <c r="C10" s="7">
        <f>C9*'Fane 15. Nøgletal'!C10</f>
        <v>3751307.0881630126</v>
      </c>
      <c r="D10" s="8" t="s">
        <v>3</v>
      </c>
      <c r="E10" s="1"/>
    </row>
    <row r="11" spans="1:5" ht="15" customHeight="1" x14ac:dyDescent="0.25">
      <c r="A11" s="1"/>
      <c r="B11" s="26" t="s">
        <v>10</v>
      </c>
      <c r="C11" s="9">
        <f>-SUM(C9:C10)*'Fane 5. Individuelt eff. krav'!C9</f>
        <v>-489430.84732231736</v>
      </c>
      <c r="D11" s="8" t="s">
        <v>3</v>
      </c>
      <c r="E11" s="1"/>
    </row>
    <row r="12" spans="1:5" ht="15" customHeight="1" x14ac:dyDescent="0.25">
      <c r="A12" s="1"/>
      <c r="B12" s="26" t="s">
        <v>22</v>
      </c>
      <c r="C12" s="9">
        <f>-'Fane 4.1. Gen. krav - drift'!C22</f>
        <v>-416564.45447207964</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59426112.512809232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1064718.076700741</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60490830.589509971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ff5/doeVAHIWJpHzvPh1qzvP8Bcz4aSgSr9lgjFZ950rzTm7OSGoqWJLpimxR2Z+M+6q3xZZkhU/8VN/zigkw==" saltValue="+5X6QF0gYaVhe4D9lXG7u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59426112.512809232</v>
      </c>
      <c r="D9" s="8" t="s">
        <v>3</v>
      </c>
      <c r="E9" s="1"/>
    </row>
    <row r="10" spans="1:5" ht="15" customHeight="1" x14ac:dyDescent="0.25">
      <c r="A10" s="1"/>
      <c r="B10" s="26" t="s">
        <v>19</v>
      </c>
      <c r="C10" s="7">
        <f>SUM(C9:C9)*'Fane 15. Nøgletal'!C10</f>
        <v>3939951.2595992521</v>
      </c>
      <c r="D10" s="8" t="s">
        <v>3</v>
      </c>
      <c r="E10" s="1"/>
    </row>
    <row r="11" spans="1:5" ht="15" customHeight="1" x14ac:dyDescent="0.25">
      <c r="A11" s="1"/>
      <c r="B11" s="26" t="s">
        <v>10</v>
      </c>
      <c r="C11" s="9">
        <f>-SUM(C9:C10)*'Fane 5. Individuelt eff. krav'!C9</f>
        <v>-514043.14231671829</v>
      </c>
      <c r="D11" s="8" t="s">
        <v>3</v>
      </c>
      <c r="E11" s="1"/>
    </row>
    <row r="12" spans="1:5" ht="15" customHeight="1" x14ac:dyDescent="0.25">
      <c r="A12" s="1"/>
      <c r="B12" s="26" t="s">
        <v>22</v>
      </c>
      <c r="C12" s="9">
        <f>-'Fane 4.1. Gen. krav - drift'!C27</f>
        <v>-435299.02424750692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62416721.605844259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1135308.885186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63552030.491030261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8c0ndSBBZdxxvSQNLgVM9fGZI2ETKqDQA/B2j7MubaMg9O+JdvWMX8gYCq1LWO/B718IuGmisbZ+CztnuWVug==" saltValue="YoLT/yO37bIMbvm2845qA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62416721.605844259</v>
      </c>
      <c r="D9" s="8" t="s">
        <v>3</v>
      </c>
      <c r="E9" s="1"/>
    </row>
    <row r="10" spans="1:5" ht="15" customHeight="1" x14ac:dyDescent="0.25">
      <c r="A10" s="1"/>
      <c r="B10" s="26" t="s">
        <v>19</v>
      </c>
      <c r="C10" s="7">
        <f>SUM(C9:C9)*'Fane 15. Nøgletal'!C10</f>
        <v>4138228.6424674741</v>
      </c>
      <c r="D10" s="8" t="s">
        <v>3</v>
      </c>
      <c r="E10" s="1"/>
    </row>
    <row r="11" spans="1:5" ht="15" customHeight="1" x14ac:dyDescent="0.25">
      <c r="A11" s="1"/>
      <c r="B11" s="26" t="s">
        <v>10</v>
      </c>
      <c r="C11" s="9">
        <f>-SUM(C9:C10)*'Fane 5. Individuelt eff. krav'!C9</f>
        <v>-539912.27678674296</v>
      </c>
      <c r="D11" s="8" t="s">
        <v>3</v>
      </c>
      <c r="E11" s="1"/>
    </row>
    <row r="12" spans="1:5" ht="15" customHeight="1" x14ac:dyDescent="0.25">
      <c r="A12" s="1"/>
      <c r="B12" s="26" t="s">
        <v>22</v>
      </c>
      <c r="C12" s="9">
        <f>-'Fane 4.1. Gen. krav - drift'!C32</f>
        <v>-454876.16256401426</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65560161.808960974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1210579.8642738319</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66770741.673234805</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4v5H9qy5mbMPEd4iVLoAlt9IZU+MPWe67lP+VOPFYdEYyhTpN7bWlIsrlC8UjNMFOBy7MUDcdRL2pLyTRMjXA==" saltValue="j2iS1fhVRPijJitrh4dwQ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48557287.808897465</v>
      </c>
      <c r="D9" s="8" t="s">
        <v>3</v>
      </c>
      <c r="E9" s="1"/>
    </row>
    <row r="10" spans="1:5" ht="15" customHeight="1" x14ac:dyDescent="0.25">
      <c r="A10" s="1"/>
      <c r="B10" s="64" t="s">
        <v>35</v>
      </c>
      <c r="C10" s="7">
        <v>113099.2352</v>
      </c>
      <c r="D10" s="8" t="s">
        <v>3</v>
      </c>
      <c r="E10" s="1"/>
    </row>
    <row r="11" spans="1:5" ht="15" customHeight="1" x14ac:dyDescent="0.25">
      <c r="A11" s="1"/>
      <c r="B11" s="64" t="s">
        <v>36</v>
      </c>
      <c r="C11" s="9">
        <v>106680.364</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3941187.046574275</v>
      </c>
      <c r="D16" s="8" t="s">
        <v>3</v>
      </c>
      <c r="E16" s="1"/>
    </row>
    <row r="17" spans="1:5" ht="15" customHeight="1" x14ac:dyDescent="0.25">
      <c r="A17" s="1"/>
      <c r="B17" s="64" t="s">
        <v>10</v>
      </c>
      <c r="C17" s="38">
        <v>-427665.15014511166</v>
      </c>
      <c r="D17" s="8" t="s">
        <v>3</v>
      </c>
      <c r="E17" s="1"/>
    </row>
    <row r="18" spans="1:5" ht="15" customHeight="1" x14ac:dyDescent="0.25">
      <c r="A18" s="1"/>
      <c r="B18" s="64" t="s">
        <v>22</v>
      </c>
      <c r="C18" s="38">
        <v>-358173.77908648475</v>
      </c>
      <c r="D18" s="8" t="s">
        <v>3</v>
      </c>
      <c r="E18" s="1"/>
    </row>
    <row r="19" spans="1:5" ht="15" customHeight="1" x14ac:dyDescent="0.25">
      <c r="A19" s="1"/>
      <c r="B19" s="64" t="s">
        <v>23</v>
      </c>
      <c r="C19" s="38">
        <v>0</v>
      </c>
      <c r="D19" s="8" t="s">
        <v>3</v>
      </c>
      <c r="E19" s="43"/>
    </row>
    <row r="20" spans="1:5" ht="15" customHeight="1" x14ac:dyDescent="0.25">
      <c r="A20" s="1"/>
      <c r="B20" s="82" t="s">
        <v>21</v>
      </c>
      <c r="C20" s="10">
        <v>51932415.525440142</v>
      </c>
      <c r="D20" s="11" t="s">
        <v>3</v>
      </c>
      <c r="E20" s="1"/>
    </row>
    <row r="21" spans="1:5" ht="15" customHeight="1" x14ac:dyDescent="0.25">
      <c r="A21" s="1"/>
      <c r="B21" s="33" t="s">
        <v>12</v>
      </c>
      <c r="C21" s="28"/>
      <c r="D21" s="19"/>
      <c r="E21" s="1"/>
    </row>
    <row r="22" spans="1:5" ht="15" customHeight="1" x14ac:dyDescent="0.25">
      <c r="A22" s="1"/>
      <c r="B22" s="31" t="s">
        <v>12</v>
      </c>
      <c r="C22" s="10">
        <v>2769085.49995904</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1699901.6814303999</v>
      </c>
      <c r="D26" s="8" t="s">
        <v>3</v>
      </c>
      <c r="E26" s="1"/>
    </row>
    <row r="27" spans="1:5" ht="15" customHeight="1" x14ac:dyDescent="0.25">
      <c r="A27" s="1"/>
      <c r="B27" s="64" t="s">
        <v>38</v>
      </c>
      <c r="C27" s="9">
        <v>0</v>
      </c>
      <c r="D27" s="8" t="s">
        <v>3</v>
      </c>
      <c r="E27" s="1"/>
    </row>
    <row r="28" spans="1:5" ht="15" customHeight="1" x14ac:dyDescent="0.25">
      <c r="A28" s="1"/>
      <c r="B28" s="64" t="s">
        <v>92</v>
      </c>
      <c r="C28" s="71">
        <v>-47788.10910324155</v>
      </c>
      <c r="D28" s="8" t="s">
        <v>3</v>
      </c>
      <c r="E28" s="1"/>
    </row>
    <row r="29" spans="1:5" ht="15" customHeight="1" x14ac:dyDescent="0.25">
      <c r="A29" s="1"/>
      <c r="B29" s="64" t="s">
        <v>93</v>
      </c>
      <c r="C29" s="9">
        <v>0</v>
      </c>
      <c r="D29" s="8" t="s">
        <v>3</v>
      </c>
      <c r="E29" s="1"/>
    </row>
    <row r="30" spans="1:5" ht="15" customHeight="1" x14ac:dyDescent="0.25">
      <c r="A30" s="1"/>
      <c r="B30" s="67" t="s">
        <v>43</v>
      </c>
      <c r="C30" s="10">
        <v>1652113.5723271584</v>
      </c>
      <c r="D30" s="11" t="s">
        <v>3</v>
      </c>
      <c r="E30" s="1"/>
    </row>
    <row r="31" spans="1:5" ht="15" customHeight="1" x14ac:dyDescent="0.25">
      <c r="A31" s="1"/>
      <c r="B31" s="33" t="s">
        <v>69</v>
      </c>
      <c r="C31" s="28"/>
      <c r="D31" s="19"/>
      <c r="E31" s="1"/>
    </row>
    <row r="32" spans="1:5" ht="15" customHeight="1" x14ac:dyDescent="0.25">
      <c r="A32" s="1"/>
      <c r="B32" s="31" t="s">
        <v>79</v>
      </c>
      <c r="C32" s="10">
        <v>-727593.5</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55626021.097726338</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NnHcnW3zSZeoKV+20NdTdPz9+gWNt0fFDpm4mimfrPEEKfe5ICITCopt9IWqz91eD2afaTibm+xFfRYgsirxbA==" saltValue="iDIEoq0Z1Hsc29sXZDJq7w=="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17786451.300920073</v>
      </c>
      <c r="D9" s="14" t="s">
        <v>3</v>
      </c>
      <c r="E9" s="1"/>
    </row>
    <row r="10" spans="1:5" x14ac:dyDescent="0.25">
      <c r="A10" s="1"/>
      <c r="B10" s="65" t="s">
        <v>125</v>
      </c>
      <c r="C10" s="23">
        <f>('Fane 3. Omkostninger i ØR2024'!C10+'Fane 3. Omkostninger i ØR2024'!C12+'Fane 3. Omkostninger i ØR2024'!C14)*(1+'Fane 15. Nøgletal'!C9)</f>
        <v>122237.65340416</v>
      </c>
      <c r="D10" s="14" t="s">
        <v>3</v>
      </c>
      <c r="E10" s="1"/>
    </row>
    <row r="11" spans="1:5" x14ac:dyDescent="0.25">
      <c r="A11" s="1"/>
      <c r="B11" s="65" t="s">
        <v>131</v>
      </c>
      <c r="C11" s="23">
        <f>C9*'Fane 15. Nøgletal'!C21+C10*'Fane 15. Nøgletal'!C21</f>
        <v>358173.77908648469</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18968596.801396959</v>
      </c>
      <c r="D15" s="14" t="s">
        <v>3</v>
      </c>
      <c r="E15" s="1"/>
    </row>
    <row r="16" spans="1:5" x14ac:dyDescent="0.25">
      <c r="A16" s="1"/>
      <c r="B16" s="65" t="s">
        <v>184</v>
      </c>
      <c r="C16" s="23">
        <f>('Fane 2.1. Økonomisk ramme 2025'!C10+'Fane 2.1. Økonomisk ramme 2025'!C12+'Fane 2.1. Økonomisk ramme 2025'!C14)*(1+'Fane 15. Nøgletal'!C10)</f>
        <v>963212.72075764008</v>
      </c>
      <c r="D16" s="14" t="s">
        <v>3</v>
      </c>
      <c r="E16" s="1"/>
    </row>
    <row r="17" spans="1:5" x14ac:dyDescent="0.25">
      <c r="A17" s="1"/>
      <c r="B17" s="65" t="s">
        <v>132</v>
      </c>
      <c r="C17" s="23">
        <f>C15*'Fane 15. Nøgletal'!C21+C16*'Fane 15. Nøgletal'!C21</f>
        <v>398636.19044309203</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20828222.723603982</v>
      </c>
      <c r="D21" s="14" t="s">
        <v>3</v>
      </c>
      <c r="E21" s="1"/>
    </row>
    <row r="22" spans="1:5" x14ac:dyDescent="0.25">
      <c r="A22" s="1"/>
      <c r="B22" s="65" t="s">
        <v>196</v>
      </c>
      <c r="C22" s="23">
        <f>C21*'Fane 15. Nøgletal'!C21</f>
        <v>416564.45447207964</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21764951.212375347</v>
      </c>
      <c r="D26" s="14" t="s">
        <v>3</v>
      </c>
      <c r="E26" s="1"/>
    </row>
    <row r="27" spans="1:5" x14ac:dyDescent="0.25">
      <c r="A27" s="1"/>
      <c r="B27" s="65" t="s">
        <v>194</v>
      </c>
      <c r="C27" s="23">
        <f>C26*'Fane 15. Nøgletal'!C21</f>
        <v>435299.02424750692</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22743808.128200714</v>
      </c>
      <c r="D31" s="14" t="s">
        <v>3</v>
      </c>
      <c r="E31" s="1"/>
    </row>
    <row r="32" spans="1:5" x14ac:dyDescent="0.25">
      <c r="A32" s="1"/>
      <c r="B32" s="65" t="s">
        <v>195</v>
      </c>
      <c r="C32" s="23">
        <f>C31*'Fane 15. Nøgletal'!C21</f>
        <v>454876.16256401426</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azWacxNuW/X8rDyeEKNTb3bEcqAePVz4/59NJcMeHlsNNGkwbS/WQuQvp/2g02T/L0p3gHnTGHOTWW94JvQYQ==" saltValue="KNQGRm+YH0zfHtbF3TC4w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40143498.431272618</v>
      </c>
      <c r="D9" s="14" t="s">
        <v>3</v>
      </c>
      <c r="E9" s="1"/>
    </row>
    <row r="10" spans="1:5" x14ac:dyDescent="0.25">
      <c r="A10" s="1"/>
      <c r="B10" s="65" t="s">
        <v>126</v>
      </c>
      <c r="C10" s="23">
        <f>('Fane 3. Omkostninger i ØR2024'!C11+'Fane 3. Omkostninger i ØR2024'!C13+'Fane 3. Omkostninger i ØR2024'!C15)*(1+'Fane 15. Nøgletal'!C9)</f>
        <v>115300.1374112</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43511709.493033469</v>
      </c>
      <c r="D15" s="14" t="s">
        <v>3</v>
      </c>
      <c r="E15" s="1"/>
    </row>
    <row r="16" spans="1:5" x14ac:dyDescent="0.25">
      <c r="A16" s="1"/>
      <c r="B16" s="65" t="s">
        <v>185</v>
      </c>
      <c r="C16" s="23">
        <f>('Fane 2.1. Økonomisk ramme 2025'!C11+'Fane 2.1. Økonomisk ramme 2025'!C13+'Fane 2.1. Økonomisk ramme 2025'!C15)*(1+'Fane 15. Nøgletal'!C10)</f>
        <v>353682.97529691999</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46773667.988980696</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49874762.176650114</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53181458.908962019</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tKoe8PRXn/D5/TRCvqzINbvbSpo1azo2NBwxYKEmXc0Wf4OoebxKfeyaAgCS1B9i7sibrfbGEQqihu9uupqkKA==" saltValue="HP2cU5B9vXQr/j1AzCq8U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8.1122782718996717E-3</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MW4FDLixrBWJMPUg93K47RSf/FOSdj14aFt1ltD8gXPwJNFtiD51p0J5m/k7P4QrHaB7Zff7kpPiKzCHIaOI0g==" saltValue="80lSlZHXwSBcWZarhOXeW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2024-10-09T07:33:29Z</dcterms:modified>
</cp:coreProperties>
</file>