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Kalundborg Overfladevand AS (V11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2" i="37" l="1"/>
  <c r="C12" i="37"/>
  <c r="E17" i="32" l="1"/>
  <c r="E16" i="32"/>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3" i="37" s="1"/>
  <c r="C15" i="23" l="1"/>
  <c r="C15" i="22" l="1"/>
  <c r="C15" i="15"/>
  <c r="C12" i="29"/>
  <c r="G36" i="36" l="1"/>
  <c r="G36" i="30"/>
  <c r="G6" i="30" l="1"/>
  <c r="E13" i="39" l="1"/>
  <c r="C13" i="39"/>
  <c r="C23" i="2" s="1"/>
  <c r="C25" i="2" s="1"/>
  <c r="G10" i="30" l="1"/>
  <c r="G12" i="30" s="1"/>
  <c r="E13" i="37" l="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<sst xmlns="http://schemas.openxmlformats.org/spreadsheetml/2006/main" count="509" uniqueCount="253">
  <si>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</si>
  <si>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</si>
  <si>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</si>
  <si>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</si>
  <si>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</si>
  <si>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</si>
  <si>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</si>
  <si>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</si>
  <si>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</si>
  <si>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</si>
  <si>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</si>
  <si>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</si>
  <si>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</si>
  <si>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</si>
  <si>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</si>
  <si>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</si>
  <si>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</si>
  <si>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</si>
  <si>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</si>
  <si>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</si>
  <si>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</si>
  <si>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</si>
  <si>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</si>
  <si>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</si>
  <si>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</si>
  <si>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</si>
  <si>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</si>
  <si>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</si>
  <si>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</si>
  <si>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</si>
  <si>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</si>
  <si>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</si>
  <si>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</si>
  <si>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</si>
  <si>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</si>
  <si>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</si>
  <si>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</si>
  <si>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</si>
  <si>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</si>
  <si>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</si>
  <si>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</si>
  <si>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</si>
  <si>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</si>
  <si>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</si>
  <si>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</si>
  <si>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</si>
  <si>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</si>
  <si>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</si>
  <si>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</si>
  <si>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</si>
  <si>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</si>
  <si>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</si>
  <si>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</si>
  <si>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</si>
  <si>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</si>
  <si>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</si>
  <si>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</si>
  <si>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</si>
  <si>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</si>
  <si>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</si>
  <si>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</si>
  <si>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</si>
  <si>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</si>
  <si>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</si>
  <si>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</si>
  <si>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</si>
  <si>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</si>
  <si>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</si>
  <si>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</si>
  <si>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</si>
  <si>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</si>
  <si>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</si>
  <si>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</si>
  <si>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</si>
  <si>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</si>
  <si>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</si>
  <si>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</si>
  <si>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</si>
  <si>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</si>
  <si>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</si>
  <si>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</si>
  <si>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</si>
  <si>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</si>
  <si>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</si>
  <si>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</si>
  <si>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</si>
  <si>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</si>
  <si>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</si>
  <si>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</si>
  <si>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</si>
  <si>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</si>
  <si>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</si>
  <si>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</si>
  <si>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</si>
  <si>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</si>
  <si>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</si>
  <si>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</si>
  <si>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</si>
  <si>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</si>
  <si>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</si>
  <si>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</si>
  <si>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</si>
  <si>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</si>
  <si>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</si>
  <si>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</si>
  <si>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</si>
  <si>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</si>
  <si>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</si>
  <si>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</si>
  <si>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</si>
  <si>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</si>
  <si>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</si>
  <si>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</si>
  <si>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</si>
  <si>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</si>
  <si>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</si>
  <si>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</si>
  <si>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</si>
  <si>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</si>
  <si>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</si>
  <si>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</si>
  <si>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</si>
  <si>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</si>
  <si>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</si>
  <si>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</si>
  <si>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</si>
  <si>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</si>
  <si>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</si>
  <si>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</si>
  <si>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</si>
  <si>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</si>
  <si>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</si>
  <si>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</si>
  <si>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</si>
  <si>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</si>
  <si>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</si>
  <si>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</si>
  <si>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</si>
  <si>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</si>
  <si>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</si>
  <si>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</si>
  <si>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</si>
  <si>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</si>
  <si>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</si>
  <si>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</si>
  <si>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</si>
  <si>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</si>
  <si>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</si>
  <si>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</si>
  <si>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</si>
  <si>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</si>
  <si>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</si>
  <si>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</si>
  <si>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</si>
  <si>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</si>
  <si>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</si>
  <si>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</si>
  <si>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</si>
  <si>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</si>
  <si>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</si>
  <si>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</si>
  <si>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</si>
  <si>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</si>
  <si>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</si>
  <si>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</si>
  <si>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</si>
  <si>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</si>
  <si>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</si>
  <si>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</si>
  <si>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</si>
  <si>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</si>
  <si>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</si>
  <si>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</si>
  <si>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</si>
  <si>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</si>
  <si>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</si>
  <si>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</si>
  <si>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</si>
  <si>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</si>
  <si>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</si>
  <si>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</si>
  <si>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</si>
  <si>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</si>
  <si>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</si>
  <si>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</si>
  <si>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</si>
  <si>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</si>
  <si>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</si>
  <si>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</si>
  <si>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</si>
  <si>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</si>
  <si>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</si>
  <si>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</si>
  <si>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</si>
  <si>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</si>
  <si>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</si>
  <si>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</si>
  <si>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</si>
  <si>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</si>
  <si>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</si>
  <si>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</si>
  <si>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</si>
  <si>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</si>
  <si>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</si>
  <si>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</si>
  <si>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</si>
  <si>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</si>
  <si>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</si>
  <si>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</si>
  <si>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</si>
  <si>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</si>
  <si>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</si>
  <si>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</si>
  <si>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</si>
  <si>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</si>
  <si>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</si>
  <si>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</si>
  <si>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</si>
  <si>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</si>
  <si>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</si>
  <si>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</si>
  <si>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</si>
  <si>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</si>
  <si>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</si>
  <si>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</si>
  <si>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</si>
  <si>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</si>
  <si>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</si>
  <si>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</si>
  <si>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</si>
  <si>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</si>
  <si>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</si>
  <si>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</si>
  <si>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</si>
  <si>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</si>
  <si>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</si>
  <si>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</si>
  <si>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</si>
  <si>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</si>
  <si>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</si>
  <si>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</si>
  <si>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</si>
  <si>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</si>
  <si>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</si>
  <si>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</si>
  <si>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</si>
  <si>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</si>
  <si>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</si>
  <si>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</si>
  <si>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</si>
  <si>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</si>
  <si>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</si>
  <si>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Indvindingstilladelse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</si>
</sst>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5" t="s">
        <v>194</v>
      </c>
      <c r="E8" s="95"/>
      <c r="F8" s="95"/>
      <c r="G8" s="9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4" t="s">
        <v>5</v>
      </c>
      <c r="E11" s="94"/>
      <c r="F11" s="94"/>
      <c r="G11" s="94"/>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6" t="s">
        <v>86</v>
      </c>
      <c r="E18" s="97"/>
      <c r="F18" s="97"/>
      <c r="G18" s="98"/>
      <c r="H18" s="1"/>
      <c r="I18" s="1"/>
    </row>
    <row r="19" spans="1:9" x14ac:dyDescent="0.25">
      <c r="A19" s="1"/>
      <c r="B19" s="1"/>
      <c r="C19" s="6" t="s">
        <v>95</v>
      </c>
      <c r="D19" s="96" t="s">
        <v>87</v>
      </c>
      <c r="E19" s="97"/>
      <c r="F19" s="97"/>
      <c r="G19" s="98"/>
      <c r="H19" s="1"/>
      <c r="I19" s="1"/>
    </row>
    <row r="20" spans="1:9" x14ac:dyDescent="0.25">
      <c r="A20" s="1"/>
      <c r="B20" s="1"/>
      <c r="C20" s="6" t="s">
        <v>7</v>
      </c>
      <c r="D20" s="96" t="s">
        <v>9</v>
      </c>
      <c r="E20" s="97"/>
      <c r="F20" s="97"/>
      <c r="G20" s="98"/>
      <c r="H20" s="1"/>
      <c r="I20" s="1"/>
    </row>
    <row r="21" spans="1:9" x14ac:dyDescent="0.25">
      <c r="A21" s="1"/>
      <c r="B21" s="1"/>
      <c r="C21" s="6" t="s">
        <v>96</v>
      </c>
      <c r="D21" s="87" t="s">
        <v>11</v>
      </c>
      <c r="E21" s="88"/>
      <c r="F21" s="88"/>
      <c r="G21" s="89"/>
      <c r="H21" s="1"/>
      <c r="I21" s="1"/>
    </row>
    <row r="22" spans="1:9" x14ac:dyDescent="0.25">
      <c r="A22" s="1"/>
      <c r="B22" s="1"/>
      <c r="C22" s="6" t="s">
        <v>78</v>
      </c>
      <c r="D22" s="81" t="s">
        <v>164</v>
      </c>
      <c r="E22" s="82"/>
      <c r="F22" s="82"/>
      <c r="G22" s="83"/>
      <c r="H22" s="1"/>
      <c r="I22" s="1"/>
    </row>
    <row r="23" spans="1:9" x14ac:dyDescent="0.25">
      <c r="A23" s="1"/>
      <c r="B23" s="1"/>
      <c r="C23" s="6" t="s">
        <v>8</v>
      </c>
      <c r="D23" s="81" t="s">
        <v>219</v>
      </c>
      <c r="E23" s="82"/>
      <c r="F23" s="82"/>
      <c r="G23" s="83"/>
      <c r="H23" s="1"/>
      <c r="I23" s="1"/>
    </row>
    <row r="24" spans="1:9" x14ac:dyDescent="0.25">
      <c r="A24" s="1"/>
      <c r="B24" s="1"/>
      <c r="C24" s="6" t="s">
        <v>215</v>
      </c>
      <c r="D24" s="81" t="s">
        <v>205</v>
      </c>
      <c r="E24" s="82"/>
      <c r="F24" s="82"/>
      <c r="G24" s="83"/>
      <c r="H24" s="1"/>
      <c r="I24" s="1"/>
    </row>
    <row r="25" spans="1:9" x14ac:dyDescent="0.25">
      <c r="A25" s="1"/>
      <c r="B25" s="1"/>
      <c r="C25" s="6" t="s">
        <v>216</v>
      </c>
      <c r="D25" s="81" t="s">
        <v>79</v>
      </c>
      <c r="E25" s="82"/>
      <c r="F25" s="82"/>
      <c r="G25" s="83"/>
      <c r="H25" s="1"/>
      <c r="I25" s="1"/>
    </row>
    <row r="26" spans="1:9" x14ac:dyDescent="0.25">
      <c r="A26" s="1"/>
      <c r="B26" s="1"/>
      <c r="C26" s="6" t="s">
        <v>217</v>
      </c>
      <c r="D26" s="81" t="s">
        <v>80</v>
      </c>
      <c r="E26" s="82"/>
      <c r="F26" s="82"/>
      <c r="G26" s="83"/>
      <c r="H26" s="1"/>
      <c r="I26" s="1"/>
    </row>
    <row r="27" spans="1:9" x14ac:dyDescent="0.25">
      <c r="A27" s="1"/>
      <c r="B27" s="1"/>
      <c r="C27" s="6" t="s">
        <v>97</v>
      </c>
      <c r="D27" s="81" t="s">
        <v>111</v>
      </c>
      <c r="E27" s="82"/>
      <c r="F27" s="82"/>
      <c r="G27" s="83"/>
      <c r="H27" s="1"/>
      <c r="I27" s="1"/>
    </row>
    <row r="28" spans="1:9" x14ac:dyDescent="0.25">
      <c r="A28" s="1"/>
      <c r="B28" s="1"/>
      <c r="C28" s="6" t="s">
        <v>91</v>
      </c>
      <c r="D28" s="81" t="s">
        <v>34</v>
      </c>
      <c r="E28" s="82"/>
      <c r="F28" s="82"/>
      <c r="G28" s="83"/>
      <c r="H28" s="1"/>
      <c r="I28" s="1"/>
    </row>
    <row r="29" spans="1:9" x14ac:dyDescent="0.25">
      <c r="A29" s="1"/>
      <c r="B29" s="1"/>
      <c r="C29" s="6" t="s">
        <v>218</v>
      </c>
      <c r="D29" s="84" t="s">
        <v>92</v>
      </c>
      <c r="E29" s="85"/>
      <c r="F29" s="85"/>
      <c r="G29" s="8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MlTd/wpv2yPxeTm+Iv0yrI+OVtR6fgDFuqbczZjhXkNe60A62sfbyPKmOz96dugsrbiFnrh02ZgYGuq7ctVUA==" saltValue="jX9aRfFntvIOswjjW0sehQ=="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2" t="s">
        <v>181</v>
      </c>
      <c r="C8" s="123"/>
      <c r="D8" s="124"/>
      <c r="E8" s="1"/>
      <c r="F8" s="1"/>
    </row>
    <row r="9" spans="1:6" ht="15" customHeight="1" x14ac:dyDescent="0.25">
      <c r="A9" s="1"/>
      <c r="B9" s="32" t="s">
        <v>30</v>
      </c>
      <c r="C9" s="11" t="s">
        <v>212</v>
      </c>
      <c r="D9" s="11"/>
      <c r="E9" s="1"/>
      <c r="F9" s="1"/>
    </row>
    <row r="10" spans="1:6" x14ac:dyDescent="0.25">
      <c r="A10" s="1"/>
      <c r="B10" s="78" t="s">
        <v>231</v>
      </c>
      <c r="C10" s="9">
        <v>23166741</v>
      </c>
      <c r="D10" s="14" t="s">
        <v>3</v>
      </c>
      <c r="E10" s="1"/>
      <c r="F10" s="1"/>
    </row>
    <row r="11" spans="1:6" x14ac:dyDescent="0.25">
      <c r="A11" s="1"/>
      <c r="B11" s="78" t="s">
        <v>232</v>
      </c>
      <c r="C11" s="9">
        <v>161837</v>
      </c>
      <c r="D11" s="14" t="s">
        <v>3</v>
      </c>
      <c r="E11" s="1"/>
      <c r="F11" s="1"/>
    </row>
    <row r="12" spans="1:6" x14ac:dyDescent="0.25">
      <c r="A12" s="1"/>
      <c r="B12" s="78" t="s">
        <v>233</v>
      </c>
      <c r="C12" s="9">
        <v>306008</v>
      </c>
      <c r="D12" s="14" t="s">
        <v>3</v>
      </c>
      <c r="E12" s="1"/>
      <c r="F12" s="1"/>
    </row>
    <row r="13" spans="1:6" x14ac:dyDescent="0.25">
      <c r="A13" s="1"/>
      <c r="B13" s="78" t="s">
        <v>234</v>
      </c>
      <c r="C13" s="9">
        <v>24410</v>
      </c>
      <c r="D13" s="14" t="s">
        <v>3</v>
      </c>
      <c r="E13" s="1"/>
      <c r="F13" s="1"/>
    </row>
    <row r="14" spans="1:6" x14ac:dyDescent="0.25">
      <c r="A14" s="1"/>
      <c r="B14" s="66" t="s">
        <v>182</v>
      </c>
      <c r="C14" s="12">
        <f>SUM(C10:C13)</f>
        <v>23658996</v>
      </c>
      <c r="D14" s="13" t="s">
        <v>3</v>
      </c>
      <c r="E14" s="1"/>
      <c r="F14" s="1"/>
    </row>
    <row r="15" spans="1:6" x14ac:dyDescent="0.25">
      <c r="A15" s="1"/>
      <c r="B15" s="66" t="s">
        <v>183</v>
      </c>
      <c r="C15" s="12">
        <f>C14*(1+'Fane 13. Nøgletal'!C15)^2</f>
        <v>25373500.980370563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m87yy7FHw6GIP7tz+bL7DSgltBPQI5YRkOr3bOrxV/zwiHydcTVZoUGMn3z2YUVSccxf4iH15Aauc44jLG/0w==" saltValue="MWFLDrrZP7AOBrDPQaoI+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184</v>
      </c>
      <c r="C3" s="107"/>
      <c r="D3" s="107"/>
      <c r="E3" s="107"/>
      <c r="F3" s="107"/>
      <c r="G3" s="1"/>
    </row>
    <row r="4" spans="1:7" ht="15" customHeight="1" x14ac:dyDescent="0.25">
      <c r="A4" s="1"/>
      <c r="B4" s="107"/>
      <c r="C4" s="107"/>
      <c r="D4" s="107"/>
      <c r="E4" s="107"/>
      <c r="F4" s="107"/>
      <c r="G4" s="1"/>
    </row>
    <row r="5" spans="1:7" ht="15" customHeight="1" x14ac:dyDescent="0.25">
      <c r="A5" s="1"/>
      <c r="B5" s="73"/>
      <c r="C5" s="73"/>
      <c r="D5" s="73"/>
      <c r="E5" s="73"/>
      <c r="F5" s="73"/>
      <c r="G5" s="1"/>
    </row>
    <row r="6" spans="1:7" ht="15" customHeight="1" x14ac:dyDescent="0.25">
      <c r="A6" s="1"/>
      <c r="B6" s="73"/>
      <c r="C6" s="73"/>
      <c r="D6" s="73"/>
      <c r="E6" s="73"/>
      <c r="F6" s="73"/>
      <c r="G6" s="1"/>
    </row>
    <row r="7" spans="1:7" x14ac:dyDescent="0.25">
      <c r="A7" s="1"/>
      <c r="B7" s="1"/>
      <c r="C7" s="1"/>
      <c r="D7" s="1"/>
      <c r="E7" s="1"/>
      <c r="F7" s="1"/>
      <c r="G7" s="1"/>
    </row>
    <row r="8" spans="1:7" x14ac:dyDescent="0.25">
      <c r="A8" s="1"/>
      <c r="B8" s="122" t="s">
        <v>155</v>
      </c>
      <c r="C8" s="123"/>
      <c r="D8" s="123"/>
      <c r="E8" s="123"/>
      <c r="F8" s="124"/>
      <c r="G8" s="1"/>
    </row>
    <row r="9" spans="1:7" x14ac:dyDescent="0.25">
      <c r="A9" s="1"/>
      <c r="B9" s="125" t="s">
        <v>156</v>
      </c>
      <c r="C9" s="126"/>
      <c r="D9" s="127"/>
      <c r="E9" s="9">
        <v>-3686592</v>
      </c>
      <c r="F9" s="14" t="s">
        <v>3</v>
      </c>
      <c r="G9" s="1"/>
    </row>
    <row r="10" spans="1:7" x14ac:dyDescent="0.25">
      <c r="A10" s="1"/>
      <c r="B10" s="140" t="s">
        <v>235</v>
      </c>
      <c r="C10" s="141"/>
      <c r="D10" s="142"/>
      <c r="E10" s="9">
        <v>-3686592</v>
      </c>
      <c r="F10" s="53" t="s">
        <v>3</v>
      </c>
      <c r="G10" s="1"/>
    </row>
    <row r="11" spans="1:7" x14ac:dyDescent="0.25">
      <c r="A11" s="1"/>
      <c r="B11" s="125" t="s">
        <v>185</v>
      </c>
      <c r="C11" s="126"/>
      <c r="D11" s="127"/>
      <c r="E11" s="9">
        <v>-1434759.3539012969</v>
      </c>
      <c r="F11" s="14" t="s">
        <v>3</v>
      </c>
      <c r="G11" s="1"/>
    </row>
    <row r="12" spans="1:7" x14ac:dyDescent="0.25">
      <c r="A12" s="1"/>
      <c r="B12" s="66"/>
      <c r="C12" s="67"/>
      <c r="D12" s="67"/>
      <c r="E12" s="67"/>
      <c r="F12" s="19"/>
      <c r="G12" s="1"/>
    </row>
    <row r="13" spans="1:7" ht="64.900000000000006" customHeight="1" x14ac:dyDescent="0.25">
      <c r="A13" s="1"/>
      <c r="B13" s="111" t="s">
        <v>250</v>
      </c>
      <c r="C13" s="112"/>
      <c r="D13" s="112"/>
      <c r="E13" s="112"/>
      <c r="F13" s="113"/>
      <c r="G13" s="1"/>
    </row>
    <row r="14" spans="1:7" ht="27" customHeight="1" x14ac:dyDescent="0.25">
      <c r="A14" s="1"/>
      <c r="B14" s="1"/>
      <c r="C14" s="1"/>
      <c r="D14" s="1"/>
      <c r="E14" s="1"/>
      <c r="F14" s="1"/>
      <c r="G14" s="1"/>
    </row>
    <row r="15" spans="1:7" ht="28.5" customHeight="1" x14ac:dyDescent="0.25">
      <c r="A15" s="1"/>
      <c r="B15" s="122" t="s">
        <v>157</v>
      </c>
      <c r="C15" s="123"/>
      <c r="D15" s="123"/>
      <c r="E15" s="123"/>
      <c r="F15" s="124"/>
      <c r="G15" s="1"/>
    </row>
    <row r="16" spans="1:7" x14ac:dyDescent="0.25">
      <c r="A16" s="1"/>
      <c r="B16" s="125" t="s">
        <v>236</v>
      </c>
      <c r="C16" s="126"/>
      <c r="D16" s="127"/>
      <c r="E16" s="9">
        <f>-358689.838475324*2</f>
        <v>-717379.67695064796</v>
      </c>
      <c r="F16" s="14" t="s">
        <v>3</v>
      </c>
      <c r="G16" s="1"/>
    </row>
    <row r="17" spans="1:7" x14ac:dyDescent="0.25">
      <c r="A17" s="1"/>
      <c r="B17" s="125" t="s">
        <v>237</v>
      </c>
      <c r="C17" s="126"/>
      <c r="D17" s="127"/>
      <c r="E17" s="9">
        <f>-358689.838475324*2</f>
        <v>-717379.67695064796</v>
      </c>
      <c r="F17" s="14" t="s">
        <v>3</v>
      </c>
      <c r="G17" s="1"/>
    </row>
    <row r="18" spans="1:7" x14ac:dyDescent="0.25">
      <c r="A18" s="1"/>
      <c r="B18" s="66"/>
      <c r="C18" s="67"/>
      <c r="D18" s="67"/>
      <c r="E18" s="67"/>
      <c r="F18" s="19"/>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70" t="s">
        <v>186</v>
      </c>
      <c r="C21" s="71"/>
      <c r="D21" s="71"/>
      <c r="E21" s="71"/>
      <c r="F21" s="72"/>
      <c r="G21" s="1"/>
    </row>
    <row r="22" spans="1:7" x14ac:dyDescent="0.25">
      <c r="A22" s="1"/>
      <c r="B22" s="75" t="s">
        <v>238</v>
      </c>
      <c r="C22" s="76"/>
      <c r="D22" s="77"/>
      <c r="E22" s="9">
        <v>34656338.437237926</v>
      </c>
      <c r="F22" s="14" t="s">
        <v>3</v>
      </c>
      <c r="G22" s="1"/>
    </row>
    <row r="23" spans="1:7" x14ac:dyDescent="0.25">
      <c r="A23" s="1"/>
      <c r="B23" s="75" t="s">
        <v>187</v>
      </c>
      <c r="C23" s="76"/>
      <c r="D23" s="77"/>
      <c r="E23" s="9">
        <v>37759088</v>
      </c>
      <c r="F23" s="14" t="s">
        <v>3</v>
      </c>
      <c r="G23" s="1"/>
    </row>
    <row r="24" spans="1:7" x14ac:dyDescent="0.25">
      <c r="A24" s="1"/>
      <c r="B24" s="75" t="s">
        <v>31</v>
      </c>
      <c r="C24" s="76"/>
      <c r="D24" s="77"/>
      <c r="E24" s="9">
        <v>0</v>
      </c>
      <c r="F24" s="14" t="s">
        <v>3</v>
      </c>
      <c r="G24" s="1"/>
    </row>
    <row r="25" spans="1:7" x14ac:dyDescent="0.25">
      <c r="A25" s="1"/>
      <c r="B25" s="50" t="s">
        <v>251</v>
      </c>
      <c r="C25" s="51"/>
      <c r="D25" s="52"/>
      <c r="E25" s="56">
        <f>E22-(E23-E24)</f>
        <v>-3102749.5627620742</v>
      </c>
      <c r="F25" s="17" t="s">
        <v>3</v>
      </c>
      <c r="G25" s="1"/>
    </row>
    <row r="26" spans="1:7" x14ac:dyDescent="0.25">
      <c r="A26" s="1"/>
      <c r="B26" s="66"/>
      <c r="C26" s="67"/>
      <c r="D26" s="67"/>
      <c r="E26" s="67"/>
      <c r="F26" s="19"/>
      <c r="G26" s="1"/>
    </row>
    <row r="27" spans="1:7" x14ac:dyDescent="0.25">
      <c r="A27" s="1"/>
      <c r="B27" s="1"/>
      <c r="C27" s="1"/>
      <c r="D27" s="1"/>
      <c r="E27" s="1"/>
      <c r="F27" s="1"/>
      <c r="G27" s="1"/>
    </row>
    <row r="28" spans="1:7" ht="28.5" customHeight="1" x14ac:dyDescent="0.25">
      <c r="A28" s="1"/>
      <c r="B28" s="122" t="s">
        <v>239</v>
      </c>
      <c r="C28" s="123"/>
      <c r="D28" s="123"/>
      <c r="E28" s="123"/>
      <c r="F28" s="124"/>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-4537508.9166633701</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-2268754.458331685</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54"/>
      <c r="B41" s="54"/>
      <c r="C41" s="54"/>
      <c r="D41" s="54"/>
      <c r="E41" s="54"/>
      <c r="F41" s="54"/>
      <c r="G41" s="54"/>
    </row>
    <row r="42" spans="1:7" x14ac:dyDescent="0.25">
      <c r="A42" s="54"/>
      <c r="B42" s="54"/>
      <c r="C42" s="54"/>
      <c r="D42" s="54"/>
      <c r="E42" s="54"/>
      <c r="F42" s="54"/>
      <c r="G42" s="54"/>
    </row>
  </sheetData>
  <sheetProtection algorithmName="SHA-512" hashValue="EHGpgx0E3fXbCO/6+/FCzoMD/VhLmo+9Sez2RlInKJI8NrcDfavZVFYqeoEYk4FOiQI9SSPXJYUN7n0cydBzWw==" saltValue="SFscN6RCQ72H/B0AqRGpp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 defaultRowHeight="15" x14ac:dyDescent="0.25"/>
  <cols>
    <col min="1" max="1" width="4.7109375" style="39" customWidth="1"/>
    <col min="2" max="2" width="22.5703125" style="39" customWidth="1"/>
    <col min="3" max="3" width="8.28515625" style="39" customWidth="1"/>
    <col min="4" max="6" width="10.7109375" style="39" customWidth="1"/>
    <col min="7" max="7" width="11" style="39" customWidth="1"/>
    <col min="8" max="8" width="3.28515625" style="39" customWidth="1"/>
    <col min="9" max="9" width="4.85546875" style="39" customWidth="1"/>
    <col min="10" max="16384" width="9" style="3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2" t="s">
        <v>227</v>
      </c>
      <c r="C8" s="123"/>
      <c r="D8" s="123"/>
      <c r="E8" s="123"/>
      <c r="F8" s="123"/>
      <c r="G8" s="123"/>
      <c r="H8" s="124"/>
      <c r="I8" s="1"/>
    </row>
    <row r="9" spans="1:9" ht="15" customHeight="1" x14ac:dyDescent="0.25">
      <c r="A9" s="1"/>
      <c r="B9" s="117" t="s">
        <v>228</v>
      </c>
      <c r="C9" s="118"/>
      <c r="D9" s="118"/>
      <c r="E9" s="118"/>
      <c r="F9" s="118"/>
      <c r="G9" s="118"/>
      <c r="H9" s="119"/>
      <c r="I9" s="1"/>
    </row>
    <row r="10" spans="1:9" x14ac:dyDescent="0.25">
      <c r="A10" s="1"/>
      <c r="B10" s="146" t="s">
        <v>242</v>
      </c>
      <c r="C10" s="147"/>
      <c r="D10" s="147"/>
      <c r="E10" s="147"/>
      <c r="F10" s="148"/>
      <c r="G10" s="55">
        <v>0</v>
      </c>
      <c r="H10" s="9" t="s">
        <v>3</v>
      </c>
      <c r="I10" s="1"/>
    </row>
    <row r="11" spans="1:9" x14ac:dyDescent="0.25">
      <c r="A11" s="1"/>
      <c r="B11" s="146" t="s">
        <v>243</v>
      </c>
      <c r="C11" s="147"/>
      <c r="D11" s="147"/>
      <c r="E11" s="147"/>
      <c r="F11" s="148"/>
      <c r="G11" s="55">
        <v>0</v>
      </c>
      <c r="H11" s="9" t="s">
        <v>3</v>
      </c>
      <c r="I11" s="1"/>
    </row>
    <row r="12" spans="1:9" x14ac:dyDescent="0.25">
      <c r="A12" s="1"/>
      <c r="B12" s="146" t="s">
        <v>244</v>
      </c>
      <c r="C12" s="147"/>
      <c r="D12" s="147"/>
      <c r="E12" s="147"/>
      <c r="F12" s="148"/>
      <c r="G12" s="9">
        <v>0</v>
      </c>
      <c r="H12" s="9" t="s">
        <v>3</v>
      </c>
      <c r="I12" s="1"/>
    </row>
    <row r="13" spans="1:9" x14ac:dyDescent="0.25">
      <c r="A13" s="1"/>
      <c r="B13" s="146" t="s">
        <v>245</v>
      </c>
      <c r="C13" s="147"/>
      <c r="D13" s="147"/>
      <c r="E13" s="147"/>
      <c r="F13" s="148"/>
      <c r="G13" s="9">
        <v>0</v>
      </c>
      <c r="H13" s="9" t="s">
        <v>3</v>
      </c>
      <c r="I13" s="1"/>
    </row>
    <row r="14" spans="1:9" x14ac:dyDescent="0.25">
      <c r="A14" s="1"/>
      <c r="B14" s="146" t="s">
        <v>246</v>
      </c>
      <c r="C14" s="147"/>
      <c r="D14" s="147"/>
      <c r="E14" s="147"/>
      <c r="F14" s="148"/>
      <c r="G14" s="9">
        <v>0</v>
      </c>
      <c r="H14" s="9" t="s">
        <v>3</v>
      </c>
      <c r="I14" s="1"/>
    </row>
    <row r="15" spans="1:9" x14ac:dyDescent="0.25">
      <c r="A15" s="1"/>
      <c r="B15" s="146" t="s">
        <v>247</v>
      </c>
      <c r="C15" s="147"/>
      <c r="D15" s="147"/>
      <c r="E15" s="147"/>
      <c r="F15" s="148"/>
      <c r="G15" s="9">
        <v>0</v>
      </c>
      <c r="H15" s="9" t="s">
        <v>3</v>
      </c>
      <c r="I15" s="1"/>
    </row>
    <row r="16" spans="1:9" x14ac:dyDescent="0.25">
      <c r="A16" s="1"/>
      <c r="B16" s="146" t="s">
        <v>248</v>
      </c>
      <c r="C16" s="147"/>
      <c r="D16" s="147"/>
      <c r="E16" s="147"/>
      <c r="F16" s="148"/>
      <c r="G16" s="9">
        <v>0</v>
      </c>
      <c r="H16" s="9" t="s">
        <v>3</v>
      </c>
      <c r="I16" s="1"/>
    </row>
    <row r="17" spans="1:9" x14ac:dyDescent="0.25">
      <c r="A17" s="1"/>
      <c r="B17" s="146" t="s">
        <v>249</v>
      </c>
      <c r="C17" s="147"/>
      <c r="D17" s="147"/>
      <c r="E17" s="147"/>
      <c r="F17" s="148"/>
      <c r="G17" s="9">
        <v>0</v>
      </c>
      <c r="H17" s="9" t="s">
        <v>3</v>
      </c>
      <c r="I17" s="1"/>
    </row>
    <row r="18" spans="1:9" x14ac:dyDescent="0.25">
      <c r="A18" s="1"/>
      <c r="B18" s="122" t="s">
        <v>229</v>
      </c>
      <c r="C18" s="123"/>
      <c r="D18" s="123"/>
      <c r="E18" s="123"/>
      <c r="F18" s="12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QaPz2jLVFwWxnG3UJU0yr68KxIIrnV1yFWHI4kfl4UXikq65swnLLU0fJNxVtKlIkhLrQj0AoJMCM8IpV8T1Q==" saltValue="LDWf4I3I3HGQROL69gl98g=="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2" t="s">
        <v>192</v>
      </c>
      <c r="C8" s="123"/>
      <c r="D8" s="123"/>
      <c r="E8" s="123"/>
      <c r="F8" s="123"/>
      <c r="G8" s="123"/>
      <c r="H8" s="123"/>
      <c r="I8" s="123"/>
      <c r="J8" s="123"/>
      <c r="K8" s="124"/>
      <c r="L8" s="1"/>
    </row>
    <row r="9" spans="1:12" ht="39.75" customHeight="1" x14ac:dyDescent="0.25">
      <c r="A9" s="1"/>
      <c r="B9" s="18" t="s">
        <v>0</v>
      </c>
      <c r="C9" s="18" t="s">
        <v>1</v>
      </c>
      <c r="D9" s="149" t="s">
        <v>213</v>
      </c>
      <c r="E9" s="150"/>
      <c r="F9" s="149" t="s">
        <v>2</v>
      </c>
      <c r="G9" s="150"/>
      <c r="H9" s="149" t="s">
        <v>214</v>
      </c>
      <c r="I9" s="150"/>
      <c r="J9" s="149" t="s">
        <v>28</v>
      </c>
      <c r="K9" s="150"/>
      <c r="L9" s="1"/>
    </row>
    <row r="10" spans="1:12" x14ac:dyDescent="0.25">
      <c r="A10" s="1"/>
      <c r="B10" s="80" t="s">
        <v>230</v>
      </c>
      <c r="C10" s="28">
        <v>0</v>
      </c>
      <c r="D10" s="9">
        <v>0</v>
      </c>
      <c r="E10" s="14" t="s">
        <v>3</v>
      </c>
      <c r="F10" s="38">
        <f>IFERROR(D10/C10,0)</f>
        <v>0</v>
      </c>
      <c r="G10" s="14" t="s">
        <v>3</v>
      </c>
      <c r="H10" s="9">
        <v>0</v>
      </c>
      <c r="I10" s="14" t="s">
        <v>3</v>
      </c>
      <c r="J10" s="9">
        <v>0</v>
      </c>
      <c r="K10" s="14" t="s">
        <v>3</v>
      </c>
      <c r="L10" s="1"/>
    </row>
    <row r="11" spans="1:12" x14ac:dyDescent="0.25">
      <c r="A11" s="1"/>
      <c r="B11" s="66" t="s">
        <v>193</v>
      </c>
      <c r="C11" s="67"/>
      <c r="D11" s="19"/>
      <c r="E11" s="72"/>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szdGwVGOBZTrGgRy07GsXRS+UsB03W345by+n7nwWFgy9zWJZecVvjPhxEEbXwXede091iEcjk0FEBkNN2R0EQ==" saltValue="B5k7l7LjNm1X/h1n4yP9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1"/>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75</v>
      </c>
      <c r="C8" s="67"/>
      <c r="D8" s="67"/>
      <c r="E8" s="67"/>
      <c r="F8" s="19"/>
      <c r="G8" s="1"/>
    </row>
    <row r="9" spans="1:7" ht="17.25" customHeight="1" x14ac:dyDescent="0.25">
      <c r="A9" s="1"/>
      <c r="B9" s="64" t="s">
        <v>15</v>
      </c>
      <c r="C9" s="64" t="s">
        <v>10</v>
      </c>
      <c r="D9" s="65"/>
      <c r="E9" s="64" t="s">
        <v>29</v>
      </c>
      <c r="F9" s="69"/>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2" t="s">
        <v>252</v>
      </c>
      <c r="C11" s="21">
        <v>671529</v>
      </c>
      <c r="D11" s="14" t="s">
        <v>3</v>
      </c>
      <c r="E11" s="9">
        <v>0</v>
      </c>
      <c r="F11" s="14" t="s">
        <v>3</v>
      </c>
      <c r="G11" s="1"/>
    </row>
    <row r="12" spans="1:7" x14ac:dyDescent="0.25">
      <c r="A12" s="1"/>
      <c r="B12" s="66" t="s">
        <v>148</v>
      </c>
      <c r="C12" s="12">
        <f>SUM(C10:C11)</f>
        <v>671529</v>
      </c>
      <c r="D12" s="13" t="s">
        <v>3</v>
      </c>
      <c r="E12" s="12">
        <f>SUM(E10:E11)</f>
        <v>0</v>
      </c>
      <c r="F12" s="13" t="s">
        <v>3</v>
      </c>
      <c r="G12" s="1"/>
    </row>
    <row r="13" spans="1:7" x14ac:dyDescent="0.25">
      <c r="A13" s="1"/>
      <c r="B13" s="66" t="s">
        <v>188</v>
      </c>
      <c r="C13" s="12">
        <f>C12*(1+'Fane 13. Nøgletal'!C15)</f>
        <v>695435.43240000005</v>
      </c>
      <c r="D13" s="13" t="s">
        <v>3</v>
      </c>
      <c r="E13" s="12">
        <f>E12*(1+'Fane 13. Nøgletal'!C15)</f>
        <v>0</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sheetData>
  <sheetProtection algorithmName="SHA-512" hashValue="zYmRkm4iGKwoLKxFeIuAT7TzBF2PM7mAocWZfLx89sO2sXzOVKGWv3v0TSm/fXPsOTY5+w6BpDiTbymyrXALpw==" saltValue="SrGGem6i7sSsL0KagCeZO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2" t="s">
        <v>88</v>
      </c>
      <c r="C9" s="123"/>
      <c r="D9" s="123"/>
      <c r="E9" s="123"/>
      <c r="F9" s="124"/>
      <c r="G9" s="1"/>
    </row>
    <row r="10" spans="1:7" ht="26.25" x14ac:dyDescent="0.25">
      <c r="A10" s="1"/>
      <c r="B10" s="64" t="s">
        <v>15</v>
      </c>
      <c r="C10" s="64" t="s">
        <v>10</v>
      </c>
      <c r="D10" s="65"/>
      <c r="E10" s="64" t="s">
        <v>29</v>
      </c>
      <c r="F10" s="69"/>
      <c r="G10" s="1"/>
    </row>
    <row r="11" spans="1:7" x14ac:dyDescent="0.25">
      <c r="A11" s="1"/>
      <c r="B11" s="22" t="s">
        <v>252</v>
      </c>
      <c r="C11" s="21">
        <v>660530</v>
      </c>
      <c r="D11" s="14" t="s">
        <v>3</v>
      </c>
      <c r="E11" s="9">
        <v>0</v>
      </c>
      <c r="F11" s="14" t="s">
        <v>3</v>
      </c>
      <c r="G11" s="1"/>
    </row>
    <row r="12" spans="1:7" x14ac:dyDescent="0.25">
      <c r="A12" s="1"/>
      <c r="B12" s="66" t="s">
        <v>195</v>
      </c>
      <c r="C12" s="12">
        <f>SUM(C11:C11)</f>
        <v>660530</v>
      </c>
      <c r="D12" s="13" t="s">
        <v>3</v>
      </c>
      <c r="E12" s="12">
        <f>SUM(E11:E11)</f>
        <v>0</v>
      </c>
      <c r="F12" s="13" t="s">
        <v>3</v>
      </c>
      <c r="G12" s="1"/>
    </row>
    <row r="13" spans="1:7" x14ac:dyDescent="0.25">
      <c r="A13" s="1"/>
      <c r="B13" s="66" t="s">
        <v>119</v>
      </c>
      <c r="C13" s="12">
        <f>C12*(1+'Fane 13. Nøgletal'!$C$15)^2</f>
        <v>708396.86530080007</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lCh2Jc1qb9yYc0H3BAiF27AEk+dG8mFY4d6p2P59OZ+WRIh+xy2lYFA6kudSFX7k+v6PTDLJP5QzK0URGPfNQ==" saltValue="h2+CJc5SZ6p+Rp6mNIRWJ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223</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112</v>
      </c>
      <c r="C8" s="123"/>
      <c r="D8" s="123"/>
      <c r="E8" s="123"/>
      <c r="F8" s="124"/>
      <c r="G8" s="1"/>
    </row>
    <row r="9" spans="1:7" ht="15" customHeight="1" x14ac:dyDescent="0.25">
      <c r="A9" s="1"/>
      <c r="B9" s="68" t="s">
        <v>113</v>
      </c>
      <c r="C9" s="117" t="s">
        <v>10</v>
      </c>
      <c r="D9" s="119"/>
      <c r="E9" s="117" t="s">
        <v>29</v>
      </c>
      <c r="F9" s="119"/>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4L64Oh18Ib/sPqpi+W3mlrulcqy5D0iNRLVI8J314gOx2HDcQ/gIzXU3SWfiBWVQa4xVK5ARqUrMDyYzbMOZQ==" saltValue="ueewM4HjYpVp+/H+Gqvd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224</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2" t="s">
        <v>85</v>
      </c>
      <c r="C10" s="123"/>
      <c r="D10" s="123"/>
      <c r="E10" s="123"/>
      <c r="F10" s="124"/>
      <c r="G10" s="1"/>
    </row>
    <row r="11" spans="1:7" ht="26.25" x14ac:dyDescent="0.25">
      <c r="A11" s="1"/>
      <c r="B11" s="68" t="s">
        <v>16</v>
      </c>
      <c r="C11" s="68" t="s">
        <v>10</v>
      </c>
      <c r="D11" s="69"/>
      <c r="E11" s="68" t="s">
        <v>29</v>
      </c>
      <c r="F11" s="69"/>
      <c r="G11" s="1"/>
    </row>
    <row r="12" spans="1:7" x14ac:dyDescent="0.25">
      <c r="A12" s="1"/>
      <c r="B12" s="22" t="s">
        <v>241</v>
      </c>
      <c r="C12" s="9">
        <v>0</v>
      </c>
      <c r="D12" s="14" t="s">
        <v>3</v>
      </c>
      <c r="E12" s="9">
        <v>0</v>
      </c>
      <c r="F12" s="14" t="s">
        <v>3</v>
      </c>
      <c r="G12" s="1"/>
    </row>
    <row r="13" spans="1:7" x14ac:dyDescent="0.25">
      <c r="A13" s="1"/>
      <c r="B13" s="66" t="s">
        <v>196</v>
      </c>
      <c r="C13" s="12">
        <f>SUM(C12:C12)</f>
        <v>0</v>
      </c>
      <c r="D13" s="13" t="s">
        <v>3</v>
      </c>
      <c r="E13" s="12">
        <f>SUM(E12:E12)</f>
        <v>0</v>
      </c>
      <c r="F13" s="13" t="s">
        <v>3</v>
      </c>
      <c r="G13" s="1"/>
    </row>
    <row r="14" spans="1:7" x14ac:dyDescent="0.25">
      <c r="A14" s="1"/>
      <c r="B14" s="66"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CwpszrvwQSpmEFfmYq/9VW6W3tlDIGAvKPUUYNRO+wg4SA9mL7pXL1qCi94Q+XTXuN/xXUuUoUWHw0gLjo5/g==" saltValue="2KnId7CmWdw2wyvY7v+Zk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8" customWidth="1"/>
    <col min="4" max="4" width="9" style="2" customWidth="1"/>
    <col min="5" max="16384" width="9" style="2"/>
  </cols>
  <sheetData>
    <row r="1" spans="1:4" x14ac:dyDescent="0.25">
      <c r="A1" s="1"/>
      <c r="B1" s="1"/>
      <c r="C1" s="43"/>
      <c r="D1" s="1"/>
    </row>
    <row r="2" spans="1:4" x14ac:dyDescent="0.25">
      <c r="A2" s="1"/>
      <c r="B2" s="1"/>
      <c r="C2" s="43"/>
      <c r="D2" s="1"/>
    </row>
    <row r="3" spans="1:4" ht="15" customHeight="1" x14ac:dyDescent="0.25">
      <c r="A3" s="1"/>
      <c r="B3" s="107" t="s">
        <v>225</v>
      </c>
      <c r="C3" s="107"/>
      <c r="D3" s="1"/>
    </row>
    <row r="4" spans="1:4" ht="25.5" customHeight="1" x14ac:dyDescent="0.25">
      <c r="A4" s="1"/>
      <c r="B4" s="107"/>
      <c r="C4" s="107"/>
      <c r="D4" s="1"/>
    </row>
    <row r="5" spans="1:4" x14ac:dyDescent="0.25">
      <c r="A5" s="1"/>
      <c r="B5" s="1"/>
      <c r="C5" s="43"/>
      <c r="D5" s="1"/>
    </row>
    <row r="6" spans="1:4" x14ac:dyDescent="0.25">
      <c r="A6" s="1"/>
      <c r="B6" s="1"/>
      <c r="C6" s="43"/>
      <c r="D6" s="1"/>
    </row>
    <row r="7" spans="1:4" x14ac:dyDescent="0.25">
      <c r="A7" s="1"/>
      <c r="B7" s="1"/>
      <c r="C7" s="43"/>
      <c r="D7" s="1"/>
    </row>
    <row r="8" spans="1:4" x14ac:dyDescent="0.25">
      <c r="A8" s="1"/>
      <c r="B8" s="66" t="s">
        <v>13</v>
      </c>
      <c r="C8" s="44"/>
      <c r="D8" s="1"/>
    </row>
    <row r="9" spans="1:4" x14ac:dyDescent="0.25">
      <c r="A9" s="1"/>
      <c r="B9" s="78" t="s">
        <v>101</v>
      </c>
      <c r="C9" s="45">
        <v>1.2699999999999999E-2</v>
      </c>
      <c r="D9" s="1"/>
    </row>
    <row r="10" spans="1:4" x14ac:dyDescent="0.25">
      <c r="A10" s="1"/>
      <c r="B10" s="78" t="s">
        <v>21</v>
      </c>
      <c r="C10" s="45">
        <v>1.7500000000000002E-2</v>
      </c>
      <c r="D10" s="1"/>
    </row>
    <row r="11" spans="1:4" x14ac:dyDescent="0.25">
      <c r="A11" s="1"/>
      <c r="B11" s="78" t="s">
        <v>102</v>
      </c>
      <c r="C11" s="45">
        <v>1.6899999999999998E-2</v>
      </c>
      <c r="D11" s="1"/>
    </row>
    <row r="12" spans="1:4" x14ac:dyDescent="0.25">
      <c r="A12" s="1"/>
      <c r="B12" s="24" t="s">
        <v>37</v>
      </c>
      <c r="C12" s="46">
        <v>1.9699999999999999E-2</v>
      </c>
      <c r="D12" s="1"/>
    </row>
    <row r="13" spans="1:4" x14ac:dyDescent="0.25">
      <c r="A13" s="1"/>
      <c r="B13" s="24" t="s">
        <v>118</v>
      </c>
      <c r="C13" s="46">
        <v>1.2200000000000001E-2</v>
      </c>
      <c r="D13" s="1"/>
    </row>
    <row r="14" spans="1:4" x14ac:dyDescent="0.25">
      <c r="A14" s="1"/>
      <c r="B14" s="24" t="s">
        <v>150</v>
      </c>
      <c r="C14" s="47">
        <v>3.3E-3</v>
      </c>
      <c r="D14" s="1"/>
    </row>
    <row r="15" spans="1:4" x14ac:dyDescent="0.25">
      <c r="A15" s="1"/>
      <c r="B15" s="24" t="s">
        <v>190</v>
      </c>
      <c r="C15" s="47">
        <v>3.56E-2</v>
      </c>
      <c r="D15" s="1"/>
    </row>
    <row r="16" spans="1:4" x14ac:dyDescent="0.25">
      <c r="A16" s="1"/>
      <c r="B16" s="122"/>
      <c r="C16" s="124"/>
      <c r="D16" s="1"/>
    </row>
    <row r="17" spans="1:4" x14ac:dyDescent="0.25">
      <c r="A17" s="1"/>
      <c r="B17" s="1"/>
      <c r="C17" s="43"/>
      <c r="D17" s="1"/>
    </row>
    <row r="18" spans="1:4" x14ac:dyDescent="0.25">
      <c r="A18" s="1"/>
      <c r="B18" s="1"/>
      <c r="C18" s="43"/>
      <c r="D18" s="1"/>
    </row>
    <row r="19" spans="1:4" x14ac:dyDescent="0.25">
      <c r="A19" s="1"/>
      <c r="B19" s="66" t="s">
        <v>89</v>
      </c>
      <c r="C19" s="44"/>
      <c r="D19" s="1"/>
    </row>
    <row r="20" spans="1:4" x14ac:dyDescent="0.25">
      <c r="A20" s="1"/>
      <c r="B20" s="78" t="s">
        <v>103</v>
      </c>
      <c r="C20" s="47">
        <v>9.1000000000000004E-3</v>
      </c>
      <c r="D20" s="1"/>
    </row>
    <row r="21" spans="1:4" x14ac:dyDescent="0.25">
      <c r="A21" s="1"/>
      <c r="B21" s="78" t="s">
        <v>104</v>
      </c>
      <c r="C21" s="47">
        <v>1.77E-2</v>
      </c>
      <c r="D21" s="1"/>
    </row>
    <row r="22" spans="1:4" x14ac:dyDescent="0.25">
      <c r="A22" s="1"/>
      <c r="B22" s="78" t="s">
        <v>105</v>
      </c>
      <c r="C22" s="47">
        <v>8.6999999999999994E-3</v>
      </c>
      <c r="D22" s="1"/>
    </row>
    <row r="23" spans="1:4" x14ac:dyDescent="0.25">
      <c r="A23" s="1"/>
      <c r="B23" s="78" t="s">
        <v>106</v>
      </c>
      <c r="C23" s="47">
        <v>2.8399999999999998E-2</v>
      </c>
      <c r="D23" s="1"/>
    </row>
    <row r="24" spans="1:4" x14ac:dyDescent="0.25">
      <c r="A24" s="1"/>
      <c r="B24" s="78" t="s">
        <v>120</v>
      </c>
      <c r="C24" s="47">
        <v>2.75E-2</v>
      </c>
      <c r="D24" s="1"/>
    </row>
    <row r="25" spans="1:4" x14ac:dyDescent="0.25">
      <c r="A25" s="1"/>
      <c r="B25" s="78" t="s">
        <v>151</v>
      </c>
      <c r="C25" s="47">
        <v>1.4800000000000001E-2</v>
      </c>
      <c r="D25" s="1"/>
    </row>
    <row r="26" spans="1:4" x14ac:dyDescent="0.25">
      <c r="A26" s="1"/>
      <c r="B26" s="24" t="s">
        <v>191</v>
      </c>
      <c r="C26" s="47">
        <v>0</v>
      </c>
      <c r="D26" s="1"/>
    </row>
    <row r="27" spans="1:4" x14ac:dyDescent="0.25">
      <c r="A27" s="1"/>
      <c r="B27" s="66"/>
      <c r="C27" s="44"/>
      <c r="D27" s="1"/>
    </row>
    <row r="28" spans="1:4" x14ac:dyDescent="0.25">
      <c r="A28" s="1"/>
      <c r="B28" s="1"/>
      <c r="C28" s="43"/>
      <c r="D28" s="1"/>
    </row>
    <row r="29" spans="1:4" x14ac:dyDescent="0.25">
      <c r="A29" s="1"/>
      <c r="B29" s="1"/>
      <c r="C29" s="43"/>
      <c r="D29" s="1"/>
    </row>
    <row r="30" spans="1:4" x14ac:dyDescent="0.25">
      <c r="A30" s="1"/>
      <c r="B30" s="66" t="s">
        <v>90</v>
      </c>
      <c r="C30" s="44"/>
      <c r="D30" s="1"/>
    </row>
    <row r="31" spans="1:4" x14ac:dyDescent="0.25">
      <c r="A31" s="1"/>
      <c r="B31" s="78" t="s">
        <v>107</v>
      </c>
      <c r="C31" s="45">
        <v>0.02</v>
      </c>
      <c r="D31" s="1"/>
    </row>
    <row r="32" spans="1:4" x14ac:dyDescent="0.25">
      <c r="A32" s="1"/>
      <c r="B32" s="66"/>
      <c r="C32" s="44"/>
      <c r="D32" s="1"/>
    </row>
    <row r="33" spans="1:4" x14ac:dyDescent="0.25">
      <c r="A33" s="1"/>
      <c r="B33" s="1"/>
      <c r="C33" s="43"/>
      <c r="D33" s="1"/>
    </row>
    <row r="34" spans="1:4" x14ac:dyDescent="0.25">
      <c r="A34" s="1"/>
      <c r="B34" s="1"/>
      <c r="C34" s="43"/>
      <c r="D34" s="1"/>
    </row>
    <row r="35" spans="1:4" x14ac:dyDescent="0.25">
      <c r="A35" s="1"/>
      <c r="B35" s="1"/>
      <c r="C35" s="43"/>
      <c r="D35" s="1"/>
    </row>
    <row r="36" spans="1:4" x14ac:dyDescent="0.25">
      <c r="A36" s="1"/>
      <c r="B36" s="1"/>
      <c r="C36" s="43"/>
      <c r="D36" s="1"/>
    </row>
    <row r="37" spans="1:4" x14ac:dyDescent="0.25">
      <c r="A37" s="1"/>
      <c r="B37" s="1"/>
      <c r="C37" s="43"/>
      <c r="D37" s="1"/>
    </row>
    <row r="38" spans="1:4" x14ac:dyDescent="0.25">
      <c r="A38" s="1"/>
      <c r="B38" s="1"/>
      <c r="C38" s="43"/>
      <c r="D38" s="1"/>
    </row>
    <row r="39" spans="1:4" x14ac:dyDescent="0.25">
      <c r="A39" s="1"/>
      <c r="B39" s="1"/>
      <c r="C39" s="43"/>
      <c r="D39" s="1"/>
    </row>
    <row r="40" spans="1:4" x14ac:dyDescent="0.25">
      <c r="A40" s="1"/>
      <c r="B40" s="1"/>
      <c r="C40" s="43"/>
      <c r="D40" s="1"/>
    </row>
    <row r="41" spans="1:4" x14ac:dyDescent="0.25">
      <c r="A41" s="1"/>
      <c r="B41" s="1"/>
      <c r="C41" s="43"/>
      <c r="D41" s="1"/>
    </row>
    <row r="42" spans="1:4" x14ac:dyDescent="0.25">
      <c r="A42" s="1"/>
      <c r="B42" s="1"/>
      <c r="C42" s="43"/>
      <c r="D42" s="1"/>
    </row>
    <row r="43" spans="1:4" x14ac:dyDescent="0.25">
      <c r="A43" s="1"/>
      <c r="B43" s="1"/>
      <c r="C43" s="43"/>
      <c r="D43" s="1"/>
    </row>
    <row r="44" spans="1:4" x14ac:dyDescent="0.25">
      <c r="A44" s="1"/>
      <c r="B44" s="1"/>
      <c r="C44" s="43"/>
      <c r="D44" s="1"/>
    </row>
    <row r="45" spans="1:4" x14ac:dyDescent="0.25">
      <c r="A45" s="1"/>
      <c r="B45" s="1"/>
      <c r="C45" s="43"/>
      <c r="D45" s="1"/>
    </row>
    <row r="46" spans="1:4" x14ac:dyDescent="0.25">
      <c r="A46" s="1"/>
      <c r="B46" s="1"/>
      <c r="C46" s="43"/>
      <c r="D46" s="1"/>
    </row>
    <row r="47" spans="1:4" x14ac:dyDescent="0.25">
      <c r="A47" s="1"/>
      <c r="B47" s="1"/>
      <c r="C47" s="43"/>
      <c r="D47" s="1"/>
    </row>
    <row r="48" spans="1:4" x14ac:dyDescent="0.25">
      <c r="A48" s="1"/>
      <c r="B48" s="1"/>
      <c r="C48" s="43"/>
      <c r="D48" s="1"/>
    </row>
    <row r="49" spans="1:4" x14ac:dyDescent="0.25">
      <c r="A49" s="1"/>
      <c r="B49" s="1"/>
      <c r="C49" s="43"/>
      <c r="D49" s="1"/>
    </row>
  </sheetData>
  <sheetProtection algorithmName="SHA-512" hashValue="rMI7+WZnTAhWogarmP6tFsrq0BHCc9x4Dz96HKM/9KnYZnBKf38S2z9vUm3YyGErwG5z81Kt1dfPNVEaAh/bUQ==" saltValue="NU8oLBTBMW7X8fF3Ckb/F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6" t="s">
        <v>12</v>
      </c>
      <c r="C7" s="67"/>
      <c r="D7" s="19"/>
      <c r="E7" s="1"/>
    </row>
    <row r="8" spans="1:5" x14ac:dyDescent="0.25">
      <c r="A8" s="1"/>
      <c r="B8" s="74" t="s">
        <v>116</v>
      </c>
      <c r="C8" s="7">
        <f>'Fane 3. Omkostninger i ØR2022'!E20</f>
        <v>14240557.995240327</v>
      </c>
      <c r="D8" s="8" t="s">
        <v>3</v>
      </c>
      <c r="E8" s="1"/>
    </row>
    <row r="9" spans="1:5" ht="17.25" customHeight="1" x14ac:dyDescent="0.25">
      <c r="A9" s="1"/>
      <c r="B9" s="23" t="s">
        <v>35</v>
      </c>
      <c r="C9" s="7">
        <f>'Fane 10.1. Varige tillæg'!C13</f>
        <v>695435.43240000005</v>
      </c>
      <c r="D9" s="8" t="s">
        <v>3</v>
      </c>
      <c r="E9" s="1"/>
    </row>
    <row r="10" spans="1:5" ht="17.25" customHeight="1" x14ac:dyDescent="0.25">
      <c r="A10" s="1"/>
      <c r="B10" s="23" t="s">
        <v>36</v>
      </c>
      <c r="C10" s="9">
        <f>'Fane 10.1. Varige tillæg'!E13</f>
        <v>0</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531721.36602399556</v>
      </c>
      <c r="D15" s="8" t="s">
        <v>3</v>
      </c>
      <c r="E15" s="1"/>
    </row>
    <row r="16" spans="1:5" ht="17.25" customHeight="1" x14ac:dyDescent="0.25">
      <c r="A16" s="1"/>
      <c r="B16" s="23" t="s">
        <v>9</v>
      </c>
      <c r="C16" s="9">
        <f>-SUM(C8,C9:C15)*'Fane 5. Individuelt eff. krav'!G9</f>
        <v>-32795.214919673657</v>
      </c>
      <c r="D16" s="8" t="s">
        <v>3</v>
      </c>
      <c r="E16" s="1"/>
    </row>
    <row r="17" spans="1:5" ht="17.25" customHeight="1" x14ac:dyDescent="0.25">
      <c r="A17" s="1"/>
      <c r="B17" s="23" t="s">
        <v>23</v>
      </c>
      <c r="C17" s="9">
        <f>-'Fane 4.1. Gen. krav - drift'!G43</f>
        <v>-175786.03685243565</v>
      </c>
      <c r="D17" s="8" t="s">
        <v>3</v>
      </c>
      <c r="E17" s="1"/>
    </row>
    <row r="18" spans="1:5" ht="17.25" customHeight="1" x14ac:dyDescent="0.25">
      <c r="A18" s="1"/>
      <c r="B18" s="23" t="s">
        <v>24</v>
      </c>
      <c r="C18" s="9">
        <f>-'Fane 4.2. Gen. krav - anlæg'!G43</f>
        <v>0</v>
      </c>
      <c r="D18" s="8" t="s">
        <v>3</v>
      </c>
      <c r="E18" s="1"/>
    </row>
    <row r="19" spans="1:5" ht="17.25" customHeight="1" x14ac:dyDescent="0.25">
      <c r="A19" s="1"/>
      <c r="B19" s="50" t="s">
        <v>19</v>
      </c>
      <c r="C19" s="10">
        <f>SUM(C8,C9:C18)</f>
        <v>15259133.541892212</v>
      </c>
      <c r="D19" s="11" t="s">
        <v>3</v>
      </c>
      <c r="E19" s="1"/>
    </row>
    <row r="20" spans="1:5" ht="15" customHeight="1" x14ac:dyDescent="0.25">
      <c r="A20" s="1"/>
      <c r="B20" s="66" t="s">
        <v>11</v>
      </c>
      <c r="C20" s="67"/>
      <c r="D20" s="19"/>
      <c r="E20" s="1"/>
    </row>
    <row r="21" spans="1:5" ht="15" customHeight="1" x14ac:dyDescent="0.25">
      <c r="A21" s="1"/>
      <c r="B21" s="68" t="s">
        <v>11</v>
      </c>
      <c r="C21" s="10">
        <f>'Fane 6. Ikke-påvirkelige omk.'!C15</f>
        <v>25373500.980370563</v>
      </c>
      <c r="D21" s="11" t="s">
        <v>3</v>
      </c>
      <c r="E21" s="1"/>
    </row>
    <row r="22" spans="1:5" ht="15" customHeight="1" x14ac:dyDescent="0.25">
      <c r="A22" s="1"/>
      <c r="B22" s="66" t="s">
        <v>80</v>
      </c>
      <c r="C22" s="67"/>
      <c r="D22" s="19"/>
      <c r="E22" s="1"/>
    </row>
    <row r="23" spans="1:5" ht="15" customHeight="1" x14ac:dyDescent="0.25">
      <c r="A23" s="1"/>
      <c r="B23" s="23" t="s">
        <v>76</v>
      </c>
      <c r="C23" s="9">
        <f>'Fane 10.2. Engangstillæg'!C13</f>
        <v>708396.86530080007</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-15669.906262379152</v>
      </c>
      <c r="D25" s="8" t="s">
        <v>3</v>
      </c>
      <c r="E25" s="1"/>
    </row>
    <row r="26" spans="1:5" ht="15" customHeight="1" x14ac:dyDescent="0.25">
      <c r="A26" s="1"/>
      <c r="B26" s="23" t="s">
        <v>207</v>
      </c>
      <c r="C26" s="9">
        <f>-C24*('Fane 13. Nøgletal'!C26+'Fane 5. Individuelt eff. krav'!G9)</f>
        <v>0</v>
      </c>
      <c r="D26" s="8" t="s">
        <v>3</v>
      </c>
      <c r="E26" s="1"/>
    </row>
    <row r="27" spans="1:5" x14ac:dyDescent="0.25">
      <c r="A27" s="1"/>
      <c r="B27" s="50" t="s">
        <v>81</v>
      </c>
      <c r="C27" s="49">
        <f>SUM(C23:C26)</f>
        <v>692726.95903842093</v>
      </c>
      <c r="D27" s="11" t="s">
        <v>3</v>
      </c>
      <c r="E27" s="1"/>
    </row>
    <row r="28" spans="1:5" ht="15" customHeight="1" x14ac:dyDescent="0.25">
      <c r="A28" s="1"/>
      <c r="B28" s="25" t="s">
        <v>128</v>
      </c>
      <c r="C28" s="67"/>
      <c r="D28" s="19"/>
      <c r="E28" s="1"/>
    </row>
    <row r="29" spans="1:5" x14ac:dyDescent="0.25">
      <c r="A29" s="1"/>
      <c r="B29" s="79" t="s">
        <v>129</v>
      </c>
      <c r="C29" s="10">
        <f>'Fane 7. Kontrol af ØR2021'!E31</f>
        <v>-2268754.458331685</v>
      </c>
      <c r="D29" s="11" t="s">
        <v>3</v>
      </c>
      <c r="E29" s="1"/>
    </row>
    <row r="30" spans="1:5" x14ac:dyDescent="0.25">
      <c r="A30" s="1"/>
      <c r="B30" s="25" t="s">
        <v>153</v>
      </c>
      <c r="C30" s="67"/>
      <c r="D30" s="19"/>
      <c r="E30" s="1"/>
    </row>
    <row r="31" spans="1:5" x14ac:dyDescent="0.25">
      <c r="A31" s="1"/>
      <c r="B31" s="79" t="s">
        <v>154</v>
      </c>
      <c r="C31" s="10">
        <f>'Fane 8. Skattesagen'!G12</f>
        <v>0</v>
      </c>
      <c r="D31" s="11" t="s">
        <v>3</v>
      </c>
      <c r="E31" s="1"/>
    </row>
    <row r="32" spans="1:5" x14ac:dyDescent="0.25">
      <c r="A32" s="1"/>
      <c r="B32" s="66" t="s">
        <v>84</v>
      </c>
      <c r="C32" s="35">
        <f>SUM(C19,C21,C27,C29,C31)</f>
        <v>39056607.022969514</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99cL21CAXS7XH5wngeYUyZWkBPuuNFtaoFM50qe/H2g0Ya9a6nvKBtzjcxbXtbofT+ZMxUNI0ssBbiurSuc/Q==" saltValue="TMSxm8jH+lEPT0thsqzcTA=="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6" t="s">
        <v>12</v>
      </c>
      <c r="C7" s="67"/>
      <c r="D7" s="19"/>
      <c r="E7" s="1"/>
    </row>
    <row r="8" spans="1:5" ht="15" customHeight="1" x14ac:dyDescent="0.25">
      <c r="A8" s="1"/>
      <c r="B8" s="74" t="s">
        <v>117</v>
      </c>
      <c r="C8" s="7">
        <f>'Fane 2.1. Økonomisk ramme 2023'!C19</f>
        <v>15259133.541892212</v>
      </c>
      <c r="D8" s="8" t="s">
        <v>3</v>
      </c>
      <c r="E8" s="1"/>
    </row>
    <row r="9" spans="1:5" ht="15" customHeight="1" x14ac:dyDescent="0.25">
      <c r="A9" s="1"/>
      <c r="B9" s="63" t="s">
        <v>17</v>
      </c>
      <c r="C9" s="9">
        <f>SUM(C8:C8)*'Fane 13. Nøgletal'!C15</f>
        <v>543225.15409136273</v>
      </c>
      <c r="D9" s="8" t="s">
        <v>3</v>
      </c>
      <c r="E9" s="1"/>
    </row>
    <row r="10" spans="1:5" ht="15" customHeight="1" x14ac:dyDescent="0.25">
      <c r="A10" s="1"/>
      <c r="B10" s="63" t="s">
        <v>9</v>
      </c>
      <c r="C10" s="9">
        <f>-SUM(C8:C9)*'Fane 5. Individuelt eff. krav'!G9</f>
        <v>-33504.739167083069</v>
      </c>
      <c r="D10" s="8" t="s">
        <v>3</v>
      </c>
      <c r="E10" s="1"/>
    </row>
    <row r="11" spans="1:5" ht="15" customHeight="1" x14ac:dyDescent="0.25">
      <c r="A11" s="1"/>
      <c r="B11" s="63" t="s">
        <v>23</v>
      </c>
      <c r="C11" s="9">
        <f>-'Fane 4.1. Gen. krav - drift'!G48</f>
        <v>-178403.13936909472</v>
      </c>
      <c r="D11" s="8" t="s">
        <v>3</v>
      </c>
      <c r="E11" s="1"/>
    </row>
    <row r="12" spans="1:5" ht="15" customHeight="1" x14ac:dyDescent="0.25">
      <c r="A12" s="1"/>
      <c r="B12" s="63" t="s">
        <v>24</v>
      </c>
      <c r="C12" s="9">
        <f>-'Fane 4.2. Gen. krav - anlæg'!G48</f>
        <v>0</v>
      </c>
      <c r="D12" s="8" t="s">
        <v>3</v>
      </c>
      <c r="E12" s="1"/>
    </row>
    <row r="13" spans="1:5" ht="15" customHeight="1" x14ac:dyDescent="0.25">
      <c r="A13" s="1"/>
      <c r="B13" s="32" t="s">
        <v>19</v>
      </c>
      <c r="C13" s="10">
        <f>SUM(C8:C12)</f>
        <v>15590450.817447396</v>
      </c>
      <c r="D13" s="11" t="s">
        <v>3</v>
      </c>
      <c r="E13" s="1"/>
    </row>
    <row r="14" spans="1:5" x14ac:dyDescent="0.25">
      <c r="A14" s="1"/>
      <c r="B14" s="66" t="s">
        <v>11</v>
      </c>
      <c r="C14" s="67"/>
      <c r="D14" s="19"/>
      <c r="E14" s="1"/>
    </row>
    <row r="15" spans="1:5" ht="15" customHeight="1" x14ac:dyDescent="0.25">
      <c r="A15" s="1"/>
      <c r="B15" s="68" t="s">
        <v>11</v>
      </c>
      <c r="C15" s="10">
        <f>'Fane 6. Ikke-påvirkelige omk.'!C15*(1+'Fane 13. Nøgletal'!C15)</f>
        <v>26276797.615271758</v>
      </c>
      <c r="D15" s="11" t="s">
        <v>3</v>
      </c>
      <c r="E15" s="1"/>
    </row>
    <row r="16" spans="1:5" x14ac:dyDescent="0.25">
      <c r="A16" s="1"/>
      <c r="B16" s="25" t="s">
        <v>128</v>
      </c>
      <c r="C16" s="67"/>
      <c r="D16" s="19"/>
      <c r="E16" s="1"/>
    </row>
    <row r="17" spans="1:5" ht="15" customHeight="1" x14ac:dyDescent="0.25">
      <c r="A17" s="1"/>
      <c r="B17" s="79" t="s">
        <v>129</v>
      </c>
      <c r="C17" s="10">
        <f>'Fane 7. Kontrol af ØR2021'!E31</f>
        <v>-2268754.458331685</v>
      </c>
      <c r="D17" s="11" t="s">
        <v>3</v>
      </c>
      <c r="E17" s="1"/>
    </row>
    <row r="18" spans="1:5" x14ac:dyDescent="0.25">
      <c r="A18" s="1"/>
      <c r="B18" s="25" t="s">
        <v>153</v>
      </c>
      <c r="C18" s="67"/>
      <c r="D18" s="19"/>
      <c r="E18" s="1"/>
    </row>
    <row r="19" spans="1:5" x14ac:dyDescent="0.25">
      <c r="A19" s="1"/>
      <c r="B19" s="79" t="s">
        <v>154</v>
      </c>
      <c r="C19" s="10">
        <f>'Fane 8. Skattesagen'!G13</f>
        <v>0</v>
      </c>
      <c r="D19" s="11" t="s">
        <v>3</v>
      </c>
      <c r="E19" s="1"/>
    </row>
    <row r="20" spans="1:5" x14ac:dyDescent="0.25">
      <c r="A20" s="1"/>
      <c r="B20" s="66" t="s">
        <v>138</v>
      </c>
      <c r="C20" s="12">
        <f>SUM(C13,C15,C17,C19)</f>
        <v>39598493.974387474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ZiNGZmsYOAUK+MYxGgoq10owWuoEtCgOI5T7uqGTXbImiidDSdNmOXjBtayXZ9q5cDpRxGQo3ezkdYxge6WVg==" saltValue="ORyKhB2Ssvt/8DHlfdmTK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6" t="s">
        <v>12</v>
      </c>
      <c r="C7" s="67"/>
      <c r="D7" s="19"/>
      <c r="E7" s="1"/>
    </row>
    <row r="8" spans="1:5" ht="15" customHeight="1" x14ac:dyDescent="0.25">
      <c r="A8" s="1"/>
      <c r="B8" s="74" t="s">
        <v>139</v>
      </c>
      <c r="C8" s="7">
        <f>'Fane 2.2. Økonomisk ramme 2024'!C13</f>
        <v>15590450.817447396</v>
      </c>
      <c r="D8" s="8" t="s">
        <v>3</v>
      </c>
      <c r="E8" s="1"/>
    </row>
    <row r="9" spans="1:5" ht="15" customHeight="1" x14ac:dyDescent="0.25">
      <c r="A9" s="1"/>
      <c r="B9" s="63" t="s">
        <v>17</v>
      </c>
      <c r="C9" s="9">
        <f>SUM(C8:C8)*'Fane 13. Nøgletal'!C15</f>
        <v>555020.04910112731</v>
      </c>
      <c r="D9" s="8" t="s">
        <v>3</v>
      </c>
      <c r="E9" s="1"/>
    </row>
    <row r="10" spans="1:5" ht="15" customHeight="1" x14ac:dyDescent="0.25">
      <c r="A10" s="1"/>
      <c r="B10" s="63" t="s">
        <v>9</v>
      </c>
      <c r="C10" s="9">
        <f>-SUM(C8:C9)*'Fane 5. Individuelt eff. krav'!G9</f>
        <v>-34232.218146708576</v>
      </c>
      <c r="D10" s="8" t="s">
        <v>3</v>
      </c>
      <c r="E10" s="1"/>
    </row>
    <row r="11" spans="1:5" ht="15" customHeight="1" x14ac:dyDescent="0.25">
      <c r="A11" s="1"/>
      <c r="B11" s="63" t="s">
        <v>23</v>
      </c>
      <c r="C11" s="9">
        <f>-'Fane 4.1. Gen. krav - drift'!G53</f>
        <v>-181059.2053080218</v>
      </c>
      <c r="D11" s="8" t="s">
        <v>3</v>
      </c>
      <c r="E11" s="1"/>
    </row>
    <row r="12" spans="1:5" ht="15" customHeight="1" x14ac:dyDescent="0.25">
      <c r="A12" s="1"/>
      <c r="B12" s="63" t="s">
        <v>24</v>
      </c>
      <c r="C12" s="26">
        <f>-'Fane 4.2. Gen. krav - anlæg'!G53</f>
        <v>0</v>
      </c>
      <c r="D12" s="8" t="s">
        <v>3</v>
      </c>
      <c r="E12" s="1"/>
    </row>
    <row r="13" spans="1:5" x14ac:dyDescent="0.25">
      <c r="A13" s="1"/>
      <c r="B13" s="32" t="s">
        <v>19</v>
      </c>
      <c r="C13" s="10">
        <f>SUM(C8:C12)</f>
        <v>15930179.443093793</v>
      </c>
      <c r="D13" s="11" t="s">
        <v>3</v>
      </c>
      <c r="E13" s="1"/>
    </row>
    <row r="14" spans="1:5" x14ac:dyDescent="0.25">
      <c r="A14" s="1"/>
      <c r="B14" s="66" t="s">
        <v>11</v>
      </c>
      <c r="C14" s="67"/>
      <c r="D14" s="19"/>
      <c r="E14" s="1"/>
    </row>
    <row r="15" spans="1:5" ht="15" customHeight="1" x14ac:dyDescent="0.25">
      <c r="A15" s="1"/>
      <c r="B15" s="68" t="s">
        <v>11</v>
      </c>
      <c r="C15" s="10">
        <f>'Fane 6. Ikke-påvirkelige omk.'!C15*(1+'Fane 13. Nøgletal'!C15)^2</f>
        <v>27212251.61037543</v>
      </c>
      <c r="D15" s="11" t="s">
        <v>3</v>
      </c>
      <c r="E15" s="1"/>
    </row>
    <row r="16" spans="1:5" x14ac:dyDescent="0.25">
      <c r="A16" s="1"/>
      <c r="B16" s="66" t="s">
        <v>128</v>
      </c>
      <c r="C16" s="67"/>
      <c r="D16" s="19"/>
      <c r="E16" s="1"/>
    </row>
    <row r="17" spans="1:5" x14ac:dyDescent="0.25">
      <c r="A17" s="1"/>
      <c r="B17" s="68" t="s">
        <v>129</v>
      </c>
      <c r="C17" s="10">
        <v>0</v>
      </c>
      <c r="D17" s="11" t="s">
        <v>3</v>
      </c>
      <c r="E17" s="1"/>
    </row>
    <row r="18" spans="1:5" ht="15" customHeight="1" x14ac:dyDescent="0.25">
      <c r="A18" s="1"/>
      <c r="B18" s="25" t="s">
        <v>153</v>
      </c>
      <c r="C18" s="67"/>
      <c r="D18" s="19"/>
      <c r="E18" s="1"/>
    </row>
    <row r="19" spans="1:5" ht="15" customHeight="1" x14ac:dyDescent="0.25">
      <c r="A19" s="1"/>
      <c r="B19" s="79" t="s">
        <v>154</v>
      </c>
      <c r="C19" s="10">
        <f>'Fane 8. Skattesagen'!G14</f>
        <v>0</v>
      </c>
      <c r="D19" s="11" t="s">
        <v>3</v>
      </c>
      <c r="E19" s="1"/>
    </row>
    <row r="20" spans="1:5" x14ac:dyDescent="0.25">
      <c r="A20" s="1"/>
      <c r="B20" s="66" t="s">
        <v>140</v>
      </c>
      <c r="C20" s="12">
        <f>SUM(C13,C15,C17,C19)</f>
        <v>43142431.053469226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yr/2EA/XXa0XNEnNj7wgxrphmaDuq0S+A2oNrY9gWV2iF/QT4zYjeObBKS2nwia/8ey7eiWmYx0NATJimu1Hg==" saltValue="qGxh+rc35uNKIjJ8ZCFtq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6" t="s">
        <v>12</v>
      </c>
      <c r="C7" s="67"/>
      <c r="D7" s="19"/>
      <c r="E7" s="1"/>
    </row>
    <row r="8" spans="1:5" ht="15" customHeight="1" x14ac:dyDescent="0.25">
      <c r="A8" s="1"/>
      <c r="B8" s="74" t="s">
        <v>169</v>
      </c>
      <c r="C8" s="7">
        <f>'Fane 2.3. Økonomisk ramme 2025'!C13</f>
        <v>15930179.443093793</v>
      </c>
      <c r="D8" s="8" t="s">
        <v>3</v>
      </c>
      <c r="E8" s="1"/>
    </row>
    <row r="9" spans="1:5" ht="15" customHeight="1" x14ac:dyDescent="0.25">
      <c r="A9" s="1"/>
      <c r="B9" s="63" t="s">
        <v>17</v>
      </c>
      <c r="C9" s="9">
        <f>SUM(C8:C8)*'Fane 13. Nøgletal'!C15</f>
        <v>567114.38817413908</v>
      </c>
      <c r="D9" s="8" t="s">
        <v>3</v>
      </c>
      <c r="E9" s="1"/>
    </row>
    <row r="10" spans="1:5" ht="15" customHeight="1" x14ac:dyDescent="0.25">
      <c r="A10" s="1"/>
      <c r="B10" s="63" t="s">
        <v>9</v>
      </c>
      <c r="C10" s="9">
        <f>-SUM(C8:C9)*'Fane 5. Individuelt eff. krav'!G9</f>
        <v>-34978.166070856743</v>
      </c>
      <c r="D10" s="8" t="s">
        <v>3</v>
      </c>
      <c r="E10" s="1"/>
    </row>
    <row r="11" spans="1:5" ht="15" customHeight="1" x14ac:dyDescent="0.25">
      <c r="A11" s="1"/>
      <c r="B11" s="63" t="s">
        <v>23</v>
      </c>
      <c r="C11" s="9">
        <f>-'Fane 4.1. Gen. krav - drift'!G58</f>
        <v>-183754.81475664765</v>
      </c>
      <c r="D11" s="8" t="s">
        <v>3</v>
      </c>
      <c r="E11" s="1"/>
    </row>
    <row r="12" spans="1:5" ht="15" customHeight="1" x14ac:dyDescent="0.25">
      <c r="A12" s="1"/>
      <c r="B12" s="63" t="s">
        <v>24</v>
      </c>
      <c r="C12" s="9">
        <f>-'Fane 4.2. Gen. krav - anlæg'!G58</f>
        <v>0</v>
      </c>
      <c r="D12" s="8" t="s">
        <v>3</v>
      </c>
      <c r="E12" s="1"/>
    </row>
    <row r="13" spans="1:5" x14ac:dyDescent="0.25">
      <c r="A13" s="1"/>
      <c r="B13" s="32" t="s">
        <v>19</v>
      </c>
      <c r="C13" s="10">
        <f>SUM(C8:C12)</f>
        <v>16278560.85044043</v>
      </c>
      <c r="D13" s="11" t="s">
        <v>3</v>
      </c>
      <c r="E13" s="1"/>
    </row>
    <row r="14" spans="1:5" x14ac:dyDescent="0.25">
      <c r="A14" s="1"/>
      <c r="B14" s="66" t="s">
        <v>11</v>
      </c>
      <c r="C14" s="67"/>
      <c r="D14" s="19"/>
      <c r="E14" s="1"/>
    </row>
    <row r="15" spans="1:5" ht="15" customHeight="1" x14ac:dyDescent="0.25">
      <c r="A15" s="1"/>
      <c r="B15" s="68" t="s">
        <v>11</v>
      </c>
      <c r="C15" s="10">
        <f>'Fane 6. Ikke-påvirkelige omk.'!C15*(1+'Fane 13. Nøgletal'!C15)^3</f>
        <v>28181007.7677048</v>
      </c>
      <c r="D15" s="11" t="s">
        <v>3</v>
      </c>
      <c r="E15" s="1"/>
    </row>
    <row r="16" spans="1:5" x14ac:dyDescent="0.25">
      <c r="A16" s="1"/>
      <c r="B16" s="66" t="s">
        <v>128</v>
      </c>
      <c r="C16" s="67"/>
      <c r="D16" s="19"/>
      <c r="E16" s="1"/>
    </row>
    <row r="17" spans="1:5" x14ac:dyDescent="0.25">
      <c r="A17" s="1"/>
      <c r="B17" s="68" t="s">
        <v>129</v>
      </c>
      <c r="C17" s="10">
        <v>0</v>
      </c>
      <c r="D17" s="11" t="s">
        <v>3</v>
      </c>
      <c r="E17" s="1"/>
    </row>
    <row r="18" spans="1:5" x14ac:dyDescent="0.25">
      <c r="A18" s="1"/>
      <c r="B18" s="25" t="s">
        <v>153</v>
      </c>
      <c r="C18" s="67"/>
      <c r="D18" s="19"/>
      <c r="E18" s="1"/>
    </row>
    <row r="19" spans="1:5" x14ac:dyDescent="0.25">
      <c r="A19" s="1"/>
      <c r="B19" s="79" t="s">
        <v>154</v>
      </c>
      <c r="C19" s="10">
        <f>'Fane 8. Skattesagen'!G15</f>
        <v>0</v>
      </c>
      <c r="D19" s="11" t="s">
        <v>3</v>
      </c>
      <c r="E19" s="1"/>
    </row>
    <row r="20" spans="1:5" x14ac:dyDescent="0.25">
      <c r="A20" s="1"/>
      <c r="B20" s="66" t="s">
        <v>170</v>
      </c>
      <c r="C20" s="12">
        <f>SUM(C13,C15,C17,C19)</f>
        <v>44459568.618145227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V8fzoYv2XosS2sAIDvD++0SahhxOHSLEShp4pyC5/Gtg5rebe3AAp1syXEyoRRc6MbNjRotYowdvFAEdutZaw==" saltValue="s76y3cQQS2mC4lMN4r5eN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171</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6" t="s">
        <v>172</v>
      </c>
      <c r="C8" s="67"/>
      <c r="D8" s="67"/>
      <c r="E8" s="67"/>
      <c r="F8" s="19"/>
      <c r="G8" s="1"/>
    </row>
    <row r="9" spans="1:7" x14ac:dyDescent="0.25">
      <c r="A9" s="1"/>
      <c r="B9" s="108" t="s">
        <v>22</v>
      </c>
      <c r="C9" s="109"/>
      <c r="D9" s="110"/>
      <c r="E9" s="7">
        <v>13808097.054879537</v>
      </c>
      <c r="F9" s="8" t="s">
        <v>3</v>
      </c>
      <c r="G9" s="1"/>
    </row>
    <row r="10" spans="1:7" ht="15" customHeight="1" x14ac:dyDescent="0.25">
      <c r="A10" s="1"/>
      <c r="B10" s="101" t="s">
        <v>35</v>
      </c>
      <c r="C10" s="102"/>
      <c r="D10" s="103"/>
      <c r="E10" s="9">
        <v>612276.86790000007</v>
      </c>
      <c r="F10" s="8" t="s">
        <v>3</v>
      </c>
      <c r="G10" s="1"/>
    </row>
    <row r="11" spans="1:7" ht="15" customHeight="1" x14ac:dyDescent="0.25">
      <c r="A11" s="1"/>
      <c r="B11" s="101" t="s">
        <v>36</v>
      </c>
      <c r="C11" s="102"/>
      <c r="D11" s="103"/>
      <c r="E11" s="9">
        <v>3175.4445000000001</v>
      </c>
      <c r="F11" s="8" t="s">
        <v>3</v>
      </c>
      <c r="G11" s="1"/>
    </row>
    <row r="12" spans="1:7" x14ac:dyDescent="0.25">
      <c r="A12" s="1"/>
      <c r="B12" s="101" t="s">
        <v>26</v>
      </c>
      <c r="C12" s="102"/>
      <c r="D12" s="103"/>
      <c r="E12" s="9">
        <v>0</v>
      </c>
      <c r="F12" s="8" t="s">
        <v>3</v>
      </c>
      <c r="G12" s="1"/>
    </row>
    <row r="13" spans="1:7" x14ac:dyDescent="0.25">
      <c r="A13" s="1"/>
      <c r="B13" s="101" t="s">
        <v>25</v>
      </c>
      <c r="C13" s="102"/>
      <c r="D13" s="103"/>
      <c r="E13" s="9">
        <v>0</v>
      </c>
      <c r="F13" s="8" t="s">
        <v>3</v>
      </c>
      <c r="G13" s="1"/>
    </row>
    <row r="14" spans="1:7" x14ac:dyDescent="0.25">
      <c r="A14" s="1"/>
      <c r="B14" s="101" t="s">
        <v>114</v>
      </c>
      <c r="C14" s="102"/>
      <c r="D14" s="103"/>
      <c r="E14" s="9">
        <v>0</v>
      </c>
      <c r="F14" s="8" t="s">
        <v>3</v>
      </c>
      <c r="G14" s="1"/>
    </row>
    <row r="15" spans="1:7" x14ac:dyDescent="0.25">
      <c r="A15" s="1"/>
      <c r="B15" s="101" t="s">
        <v>115</v>
      </c>
      <c r="C15" s="102"/>
      <c r="D15" s="103"/>
      <c r="E15" s="9">
        <v>0</v>
      </c>
      <c r="F15" s="8" t="s">
        <v>3</v>
      </c>
      <c r="G15" s="1"/>
    </row>
    <row r="16" spans="1:7" x14ac:dyDescent="0.25">
      <c r="A16" s="1"/>
      <c r="B16" s="101" t="s">
        <v>17</v>
      </c>
      <c r="C16" s="102"/>
      <c r="D16" s="103"/>
      <c r="E16" s="9">
        <v>170489.77670045037</v>
      </c>
      <c r="F16" s="8" t="s">
        <v>3</v>
      </c>
      <c r="G16" s="29"/>
    </row>
    <row r="17" spans="1:7" x14ac:dyDescent="0.25">
      <c r="A17" s="1"/>
      <c r="B17" s="101" t="s">
        <v>9</v>
      </c>
      <c r="C17" s="102"/>
      <c r="D17" s="103"/>
      <c r="E17" s="9">
        <v>0</v>
      </c>
      <c r="F17" s="8" t="s">
        <v>3</v>
      </c>
      <c r="G17" s="1"/>
    </row>
    <row r="18" spans="1:7" x14ac:dyDescent="0.25">
      <c r="A18" s="1"/>
      <c r="B18" s="101" t="s">
        <v>23</v>
      </c>
      <c r="C18" s="102"/>
      <c r="D18" s="103"/>
      <c r="E18" s="9">
        <v>-159014.76633536592</v>
      </c>
      <c r="F18" s="8" t="s">
        <v>3</v>
      </c>
      <c r="G18" s="1"/>
    </row>
    <row r="19" spans="1:7" x14ac:dyDescent="0.25">
      <c r="A19" s="1"/>
      <c r="B19" s="101" t="s">
        <v>24</v>
      </c>
      <c r="C19" s="102"/>
      <c r="D19" s="103"/>
      <c r="E19" s="9">
        <v>-194466.38240429433</v>
      </c>
      <c r="F19" s="8" t="s">
        <v>3</v>
      </c>
      <c r="G19" s="1"/>
    </row>
    <row r="20" spans="1:7" x14ac:dyDescent="0.25">
      <c r="A20" s="1"/>
      <c r="B20" s="114" t="s">
        <v>19</v>
      </c>
      <c r="C20" s="115"/>
      <c r="D20" s="116"/>
      <c r="E20" s="30">
        <f>SUM(E9:E19)</f>
        <v>14240557.995240327</v>
      </c>
      <c r="F20" s="33" t="s">
        <v>3</v>
      </c>
      <c r="G20" s="1"/>
    </row>
    <row r="21" spans="1:7" x14ac:dyDescent="0.25">
      <c r="A21" s="1"/>
      <c r="B21" s="66" t="s">
        <v>11</v>
      </c>
      <c r="C21" s="67"/>
      <c r="D21" s="67"/>
      <c r="E21" s="67"/>
      <c r="F21" s="19"/>
      <c r="G21" s="1"/>
    </row>
    <row r="22" spans="1:7" x14ac:dyDescent="0.25">
      <c r="A22" s="1"/>
      <c r="B22" s="104" t="s">
        <v>11</v>
      </c>
      <c r="C22" s="105"/>
      <c r="D22" s="106"/>
      <c r="E22" s="10">
        <v>25659480.952387072</v>
      </c>
      <c r="F22" s="11" t="s">
        <v>3</v>
      </c>
      <c r="G22" s="1"/>
    </row>
    <row r="23" spans="1:7" ht="15" customHeight="1" x14ac:dyDescent="0.25">
      <c r="A23" s="1"/>
      <c r="B23" s="120" t="s">
        <v>80</v>
      </c>
      <c r="C23" s="121"/>
      <c r="D23" s="121"/>
      <c r="E23" s="67"/>
      <c r="F23" s="67"/>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17" t="s">
        <v>81</v>
      </c>
      <c r="C26" s="118"/>
      <c r="D26" s="118"/>
      <c r="E26" s="10">
        <v>0</v>
      </c>
      <c r="F26" s="11" t="s">
        <v>3</v>
      </c>
      <c r="G26" s="1"/>
    </row>
    <row r="27" spans="1:7" x14ac:dyDescent="0.25">
      <c r="A27" s="1"/>
      <c r="B27" s="66" t="s">
        <v>128</v>
      </c>
      <c r="C27" s="67"/>
      <c r="D27" s="67"/>
      <c r="E27" s="67"/>
      <c r="F27" s="19"/>
      <c r="G27" s="1"/>
    </row>
    <row r="28" spans="1:7" ht="15" customHeight="1" x14ac:dyDescent="0.25">
      <c r="A28" s="1"/>
      <c r="B28" s="117" t="s">
        <v>129</v>
      </c>
      <c r="C28" s="118"/>
      <c r="D28" s="119"/>
      <c r="E28" s="10">
        <v>-3116754.1087879688</v>
      </c>
      <c r="F28" s="11" t="s">
        <v>3</v>
      </c>
      <c r="G28" s="1"/>
    </row>
    <row r="29" spans="1:7" x14ac:dyDescent="0.25">
      <c r="A29" s="1"/>
      <c r="B29" s="66" t="s">
        <v>159</v>
      </c>
      <c r="C29" s="67"/>
      <c r="D29" s="67"/>
      <c r="E29" s="67"/>
      <c r="F29" s="19"/>
      <c r="G29" s="1"/>
    </row>
    <row r="30" spans="1:7" ht="15.75" customHeight="1" x14ac:dyDescent="0.25">
      <c r="A30" s="1"/>
      <c r="B30" s="104" t="s">
        <v>160</v>
      </c>
      <c r="C30" s="105"/>
      <c r="D30" s="106"/>
      <c r="E30" s="10">
        <v>0</v>
      </c>
      <c r="F30" s="11" t="s">
        <v>3</v>
      </c>
      <c r="G30" s="1"/>
    </row>
    <row r="31" spans="1:7" ht="15.75" customHeight="1" x14ac:dyDescent="0.25">
      <c r="A31" s="1"/>
      <c r="B31" s="122" t="s">
        <v>153</v>
      </c>
      <c r="C31" s="123"/>
      <c r="D31" s="123"/>
      <c r="E31" s="123"/>
      <c r="F31" s="124"/>
      <c r="G31" s="1"/>
    </row>
    <row r="32" spans="1:7" ht="15.75" customHeight="1" x14ac:dyDescent="0.25">
      <c r="A32" s="1"/>
      <c r="B32" s="79" t="s">
        <v>154</v>
      </c>
      <c r="C32" s="10"/>
      <c r="D32" s="11"/>
      <c r="E32" s="10">
        <f>'Fane 8. Skattesagen'!G11</f>
        <v>0</v>
      </c>
      <c r="F32" s="11" t="s">
        <v>3</v>
      </c>
      <c r="G32" s="1"/>
    </row>
    <row r="33" spans="1:7" x14ac:dyDescent="0.25">
      <c r="A33" s="1"/>
      <c r="B33" s="34" t="s">
        <v>27</v>
      </c>
      <c r="C33" s="37"/>
      <c r="D33" s="37"/>
      <c r="E33" s="31">
        <f>E20+E22+E26+E28+E30+E32</f>
        <v>36783284.838839427</v>
      </c>
      <c r="F33" s="36"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AEGyRzmAsQMMQM9ma93AQ/qwl8Ovwhxzt/E9+CC2SbvUWrO3DK2YQyo9/xsNeUBCu3mOUHX1vVagnVBE/Ge5w==" saltValue="BFqRkTKwxpRUjZ2V2jivDg=="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2" customWidth="1"/>
    <col min="8" max="8" width="3.7109375" style="2" customWidth="1"/>
    <col min="9" max="9" width="6.7109375" style="2" customWidth="1"/>
    <col min="10" max="16384" width="9" style="2"/>
  </cols>
  <sheetData>
    <row r="1" spans="1:9" ht="15" customHeight="1" x14ac:dyDescent="0.25">
      <c r="A1" s="1"/>
      <c r="B1" s="107" t="s">
        <v>98</v>
      </c>
      <c r="C1" s="107"/>
      <c r="D1" s="107"/>
      <c r="E1" s="107"/>
      <c r="F1" s="107"/>
      <c r="G1" s="107"/>
      <c r="H1" s="107"/>
      <c r="I1" s="1"/>
    </row>
    <row r="2" spans="1:9" ht="15" customHeight="1" x14ac:dyDescent="0.25">
      <c r="A2" s="1"/>
      <c r="B2" s="107"/>
      <c r="C2" s="107"/>
      <c r="D2" s="107"/>
      <c r="E2" s="107"/>
      <c r="F2" s="107"/>
      <c r="G2" s="107"/>
      <c r="H2" s="107"/>
      <c r="I2" s="1"/>
    </row>
    <row r="3" spans="1:9" ht="15" customHeight="1" x14ac:dyDescent="0.25">
      <c r="A3" s="1"/>
      <c r="B3" s="107"/>
      <c r="C3" s="107"/>
      <c r="D3" s="107"/>
      <c r="E3" s="107"/>
      <c r="F3" s="107"/>
      <c r="G3" s="107"/>
      <c r="H3" s="107"/>
      <c r="I3" s="1"/>
    </row>
    <row r="4" spans="1:9" x14ac:dyDescent="0.25">
      <c r="A4" s="1"/>
      <c r="B4" s="122" t="s">
        <v>49</v>
      </c>
      <c r="C4" s="123"/>
      <c r="D4" s="123"/>
      <c r="E4" s="123"/>
      <c r="F4" s="123"/>
      <c r="G4" s="123"/>
      <c r="H4" s="124"/>
      <c r="I4" s="1"/>
    </row>
    <row r="5" spans="1:9" x14ac:dyDescent="0.25">
      <c r="A5" s="1"/>
      <c r="B5" s="125" t="s">
        <v>38</v>
      </c>
      <c r="C5" s="126"/>
      <c r="D5" s="126"/>
      <c r="E5" s="126"/>
      <c r="F5" s="127"/>
      <c r="G5" s="57">
        <v>5401081</v>
      </c>
      <c r="H5" s="14" t="s">
        <v>3</v>
      </c>
      <c r="I5" s="1"/>
    </row>
    <row r="6" spans="1:9" x14ac:dyDescent="0.25">
      <c r="A6" s="1"/>
      <c r="B6" s="125" t="s">
        <v>39</v>
      </c>
      <c r="C6" s="126"/>
      <c r="D6" s="126"/>
      <c r="E6" s="126"/>
      <c r="F6" s="127"/>
      <c r="G6" s="57">
        <f>G5*'Fane 13. Nøgletal'!C31</f>
        <v>108021.62</v>
      </c>
      <c r="H6" s="14" t="s">
        <v>3</v>
      </c>
      <c r="I6" s="1"/>
    </row>
    <row r="7" spans="1:9" x14ac:dyDescent="0.25">
      <c r="A7" s="1"/>
      <c r="B7" s="66"/>
      <c r="C7" s="67"/>
      <c r="D7" s="67"/>
      <c r="E7" s="67"/>
      <c r="F7" s="67"/>
      <c r="G7" s="58"/>
      <c r="H7" s="19"/>
      <c r="I7" s="1"/>
    </row>
    <row r="8" spans="1:9" x14ac:dyDescent="0.25">
      <c r="A8" s="1"/>
      <c r="B8" s="1"/>
      <c r="C8" s="1"/>
      <c r="D8" s="1"/>
      <c r="E8" s="1"/>
      <c r="F8" s="1"/>
      <c r="G8" s="59"/>
      <c r="H8" s="1"/>
      <c r="I8" s="1"/>
    </row>
    <row r="9" spans="1:9" x14ac:dyDescent="0.25">
      <c r="A9" s="1"/>
      <c r="B9" s="122" t="s">
        <v>50</v>
      </c>
      <c r="C9" s="123"/>
      <c r="D9" s="123"/>
      <c r="E9" s="123"/>
      <c r="F9" s="123"/>
      <c r="G9" s="128"/>
      <c r="H9" s="124"/>
      <c r="I9" s="1"/>
    </row>
    <row r="10" spans="1:9" x14ac:dyDescent="0.25">
      <c r="A10" s="1"/>
      <c r="B10" s="125" t="s">
        <v>40</v>
      </c>
      <c r="C10" s="126"/>
      <c r="D10" s="126"/>
      <c r="E10" s="126"/>
      <c r="F10" s="127"/>
      <c r="G10" s="57">
        <f>(G5-G6)*(1+'Fane 13. Nøgletal'!C9)</f>
        <v>5360281.2341259997</v>
      </c>
      <c r="H10" s="14" t="s">
        <v>3</v>
      </c>
      <c r="I10" s="1"/>
    </row>
    <row r="11" spans="1:9" x14ac:dyDescent="0.25">
      <c r="A11" s="1"/>
      <c r="B11" s="129" t="s">
        <v>41</v>
      </c>
      <c r="C11" s="130"/>
      <c r="D11" s="130"/>
      <c r="E11" s="130"/>
      <c r="F11" s="131"/>
      <c r="G11" s="57">
        <v>0</v>
      </c>
      <c r="H11" s="14" t="s">
        <v>3</v>
      </c>
      <c r="I11" s="1"/>
    </row>
    <row r="12" spans="1:9" x14ac:dyDescent="0.25">
      <c r="A12" s="1"/>
      <c r="B12" s="125" t="s">
        <v>42</v>
      </c>
      <c r="C12" s="126"/>
      <c r="D12" s="126"/>
      <c r="E12" s="126"/>
      <c r="F12" s="127"/>
      <c r="G12" s="57">
        <f>(G10+G11)*'Fane 13. Nøgletal'!C31</f>
        <v>107205.62468251999</v>
      </c>
      <c r="H12" s="14" t="s">
        <v>3</v>
      </c>
      <c r="I12" s="1"/>
    </row>
    <row r="13" spans="1:9" x14ac:dyDescent="0.25">
      <c r="A13" s="1"/>
      <c r="B13" s="66"/>
      <c r="C13" s="67"/>
      <c r="D13" s="67"/>
      <c r="E13" s="67"/>
      <c r="F13" s="67"/>
      <c r="G13" s="58"/>
      <c r="H13" s="19"/>
      <c r="I13" s="1"/>
    </row>
    <row r="14" spans="1:9" x14ac:dyDescent="0.25">
      <c r="A14" s="1"/>
      <c r="B14" s="1"/>
      <c r="C14" s="1"/>
      <c r="D14" s="1"/>
      <c r="E14" s="1"/>
      <c r="F14" s="1"/>
      <c r="G14" s="59"/>
      <c r="H14" s="1"/>
      <c r="I14" s="1"/>
    </row>
    <row r="15" spans="1:9" x14ac:dyDescent="0.25">
      <c r="A15" s="1"/>
      <c r="B15" s="122" t="s">
        <v>51</v>
      </c>
      <c r="C15" s="123"/>
      <c r="D15" s="123"/>
      <c r="E15" s="123"/>
      <c r="F15" s="123"/>
      <c r="G15" s="128"/>
      <c r="H15" s="124"/>
      <c r="I15" s="1"/>
    </row>
    <row r="16" spans="1:9" x14ac:dyDescent="0.25">
      <c r="A16" s="1"/>
      <c r="B16" s="125" t="s">
        <v>43</v>
      </c>
      <c r="C16" s="126"/>
      <c r="D16" s="126"/>
      <c r="E16" s="126"/>
      <c r="F16" s="127"/>
      <c r="G16" s="57">
        <f>(G10+G11-G12)*(1+'Fane 13. Nøgletal'!C11)</f>
        <v>5341852.5872430746</v>
      </c>
      <c r="H16" s="14" t="s">
        <v>3</v>
      </c>
      <c r="I16" s="1"/>
    </row>
    <row r="17" spans="1:9" x14ac:dyDescent="0.25">
      <c r="A17" s="1"/>
      <c r="B17" s="125" t="s">
        <v>108</v>
      </c>
      <c r="C17" s="126"/>
      <c r="D17" s="126"/>
      <c r="E17" s="126"/>
      <c r="F17" s="127"/>
      <c r="G17" s="57">
        <v>-10432.107727753541</v>
      </c>
      <c r="H17" s="14" t="s">
        <v>3</v>
      </c>
      <c r="I17" s="1"/>
    </row>
    <row r="18" spans="1:9" x14ac:dyDescent="0.25">
      <c r="A18" s="1"/>
      <c r="B18" s="129" t="s">
        <v>44</v>
      </c>
      <c r="C18" s="130"/>
      <c r="D18" s="130"/>
      <c r="E18" s="130"/>
      <c r="F18" s="131"/>
      <c r="G18" s="57">
        <v>0</v>
      </c>
      <c r="H18" s="14" t="s">
        <v>3</v>
      </c>
      <c r="I18" s="1"/>
    </row>
    <row r="19" spans="1:9" x14ac:dyDescent="0.25">
      <c r="A19" s="1"/>
      <c r="B19" s="125" t="s">
        <v>45</v>
      </c>
      <c r="C19" s="126"/>
      <c r="D19" s="126"/>
      <c r="E19" s="126"/>
      <c r="F19" s="127"/>
      <c r="G19" s="57">
        <f>SUM(G16:G18)*'Fane 13. Nøgletal'!C31</f>
        <v>106628.40959030642</v>
      </c>
      <c r="H19" s="14" t="s">
        <v>3</v>
      </c>
      <c r="I19" s="1"/>
    </row>
    <row r="20" spans="1:9" x14ac:dyDescent="0.25">
      <c r="A20" s="1"/>
      <c r="B20" s="66"/>
      <c r="C20" s="67"/>
      <c r="D20" s="67"/>
      <c r="E20" s="67"/>
      <c r="F20" s="67"/>
      <c r="G20" s="58"/>
      <c r="H20" s="19"/>
      <c r="I20" s="1"/>
    </row>
    <row r="21" spans="1:9" x14ac:dyDescent="0.25">
      <c r="A21" s="1"/>
      <c r="B21" s="1"/>
      <c r="C21" s="1"/>
      <c r="D21" s="1"/>
      <c r="E21" s="1"/>
      <c r="F21" s="1"/>
      <c r="G21" s="59"/>
      <c r="H21" s="1"/>
      <c r="I21" s="1"/>
    </row>
    <row r="22" spans="1:9" x14ac:dyDescent="0.25">
      <c r="A22" s="1"/>
      <c r="B22" s="122" t="s">
        <v>52</v>
      </c>
      <c r="C22" s="123"/>
      <c r="D22" s="123"/>
      <c r="E22" s="123"/>
      <c r="F22" s="123"/>
      <c r="G22" s="128"/>
      <c r="H22" s="124"/>
      <c r="I22" s="1"/>
    </row>
    <row r="23" spans="1:9" x14ac:dyDescent="0.25">
      <c r="A23" s="1"/>
      <c r="B23" s="125" t="s">
        <v>46</v>
      </c>
      <c r="C23" s="126"/>
      <c r="D23" s="126"/>
      <c r="E23" s="126"/>
      <c r="F23" s="127"/>
      <c r="G23" s="57">
        <f>(SUM(G16:G18)-G19)*(1+'Fane 13. Nøgletal'!C11)</f>
        <v>5313091.0559067465</v>
      </c>
      <c r="H23" s="14" t="s">
        <v>3</v>
      </c>
      <c r="I23" s="1"/>
    </row>
    <row r="24" spans="1:9" x14ac:dyDescent="0.25">
      <c r="A24" s="1"/>
      <c r="B24" s="129" t="s">
        <v>47</v>
      </c>
      <c r="C24" s="130"/>
      <c r="D24" s="130"/>
      <c r="E24" s="130"/>
      <c r="F24" s="131"/>
      <c r="G24" s="57">
        <v>0</v>
      </c>
      <c r="H24" s="14" t="s">
        <v>3</v>
      </c>
      <c r="I24" s="1"/>
    </row>
    <row r="25" spans="1:9" x14ac:dyDescent="0.25">
      <c r="A25" s="1"/>
      <c r="B25" s="125" t="s">
        <v>48</v>
      </c>
      <c r="C25" s="126"/>
      <c r="D25" s="126"/>
      <c r="E25" s="126"/>
      <c r="F25" s="127"/>
      <c r="G25" s="57">
        <f>(G23+G24)*'Fane 13. Nøgletal'!C31</f>
        <v>106261.82111813493</v>
      </c>
      <c r="H25" s="14" t="s">
        <v>3</v>
      </c>
      <c r="I25" s="1"/>
    </row>
    <row r="26" spans="1:9" x14ac:dyDescent="0.25">
      <c r="A26" s="1"/>
      <c r="B26" s="66"/>
      <c r="C26" s="67"/>
      <c r="D26" s="67"/>
      <c r="E26" s="67"/>
      <c r="F26" s="67"/>
      <c r="G26" s="58"/>
      <c r="H26" s="19"/>
      <c r="I26" s="1"/>
    </row>
    <row r="27" spans="1:9" x14ac:dyDescent="0.25">
      <c r="A27" s="1"/>
      <c r="B27" s="1"/>
      <c r="C27" s="1"/>
      <c r="D27" s="1"/>
      <c r="E27" s="1"/>
      <c r="F27" s="1"/>
      <c r="G27" s="59"/>
      <c r="H27" s="1"/>
      <c r="I27" s="1"/>
    </row>
    <row r="28" spans="1:9" x14ac:dyDescent="0.25">
      <c r="A28" s="1"/>
      <c r="B28" s="122" t="s">
        <v>132</v>
      </c>
      <c r="C28" s="123"/>
      <c r="D28" s="123"/>
      <c r="E28" s="123"/>
      <c r="F28" s="123"/>
      <c r="G28" s="128"/>
      <c r="H28" s="124"/>
      <c r="I28" s="1"/>
    </row>
    <row r="29" spans="1:9" x14ac:dyDescent="0.25">
      <c r="A29" s="1"/>
      <c r="B29" s="125" t="s">
        <v>55</v>
      </c>
      <c r="C29" s="126"/>
      <c r="D29" s="126"/>
      <c r="E29" s="126"/>
      <c r="F29" s="127"/>
      <c r="G29" s="57">
        <f>(G23+G24-G25)*(1+'Fane 13. Nøgletal'!C13)</f>
        <v>5270352.5514530325</v>
      </c>
      <c r="H29" s="14" t="s">
        <v>3</v>
      </c>
      <c r="I29" s="1"/>
    </row>
    <row r="30" spans="1:9" x14ac:dyDescent="0.25">
      <c r="A30" s="1"/>
      <c r="B30" s="125" t="s">
        <v>121</v>
      </c>
      <c r="C30" s="126"/>
      <c r="D30" s="126"/>
      <c r="E30" s="126"/>
      <c r="F30" s="127"/>
      <c r="G30" s="57">
        <v>2125581.2754548397</v>
      </c>
      <c r="H30" s="14" t="s">
        <v>3</v>
      </c>
      <c r="I30" s="1"/>
    </row>
    <row r="31" spans="1:9" x14ac:dyDescent="0.25">
      <c r="A31" s="1"/>
      <c r="B31" s="125" t="s">
        <v>126</v>
      </c>
      <c r="C31" s="126"/>
      <c r="D31" s="126"/>
      <c r="E31" s="126"/>
      <c r="F31" s="127"/>
      <c r="G31" s="57">
        <f>(G29+G30)*'Fane 13. Nøgletal'!C31</f>
        <v>147918.67653815745</v>
      </c>
      <c r="H31" s="14" t="s">
        <v>3</v>
      </c>
      <c r="I31" s="1"/>
    </row>
    <row r="32" spans="1:9" x14ac:dyDescent="0.25">
      <c r="A32" s="1"/>
      <c r="B32" s="66"/>
      <c r="C32" s="67"/>
      <c r="D32" s="67"/>
      <c r="E32" s="67"/>
      <c r="F32" s="67"/>
      <c r="G32" s="58"/>
      <c r="H32" s="19"/>
      <c r="I32" s="1"/>
    </row>
    <row r="33" spans="1:9" x14ac:dyDescent="0.25">
      <c r="A33" s="1"/>
      <c r="B33" s="1"/>
      <c r="C33" s="1"/>
      <c r="D33" s="1"/>
      <c r="E33" s="1"/>
      <c r="F33" s="1"/>
      <c r="G33" s="59"/>
      <c r="H33" s="1"/>
      <c r="I33" s="1"/>
    </row>
    <row r="34" spans="1:9" x14ac:dyDescent="0.25">
      <c r="A34" s="1"/>
      <c r="B34" s="122" t="s">
        <v>133</v>
      </c>
      <c r="C34" s="123"/>
      <c r="D34" s="123"/>
      <c r="E34" s="123"/>
      <c r="F34" s="123"/>
      <c r="G34" s="128"/>
      <c r="H34" s="124"/>
      <c r="I34" s="1"/>
    </row>
    <row r="35" spans="1:9" x14ac:dyDescent="0.25">
      <c r="A35" s="1"/>
      <c r="B35" s="125" t="s">
        <v>74</v>
      </c>
      <c r="C35" s="126"/>
      <c r="D35" s="126"/>
      <c r="E35" s="126"/>
      <c r="F35" s="127"/>
      <c r="G35" s="57">
        <f>(G29+G30-G31)*(1+'Fane 13. Nøgletal'!C13)</f>
        <v>7336440.9352042256</v>
      </c>
      <c r="H35" s="14" t="s">
        <v>3</v>
      </c>
      <c r="I35" s="1"/>
    </row>
    <row r="36" spans="1:9" x14ac:dyDescent="0.25">
      <c r="A36" s="1"/>
      <c r="B36" s="125" t="s">
        <v>152</v>
      </c>
      <c r="C36" s="126"/>
      <c r="D36" s="126"/>
      <c r="E36" s="126"/>
      <c r="F36" s="127"/>
      <c r="G36" s="57">
        <f>('Fane 3. Omkostninger i ØR2022'!E10+'Fane 3. Omkostninger i ØR2022'!E12+'Fane 3. Omkostninger i ØR2022'!E14)*(1+'Fane 13. Nøgletal'!C14)</f>
        <v>614297.38156407012</v>
      </c>
      <c r="H36" s="14" t="s">
        <v>3</v>
      </c>
      <c r="I36" s="1"/>
    </row>
    <row r="37" spans="1:9" x14ac:dyDescent="0.25">
      <c r="A37" s="1"/>
      <c r="B37" s="125" t="s">
        <v>134</v>
      </c>
      <c r="C37" s="126"/>
      <c r="D37" s="126"/>
      <c r="E37" s="126"/>
      <c r="F37" s="127"/>
      <c r="G37" s="57">
        <f>(G35+G36)*'Fane 13. Nøgletal'!C31</f>
        <v>159014.76633536592</v>
      </c>
      <c r="H37" s="14" t="s">
        <v>3</v>
      </c>
      <c r="I37" s="1"/>
    </row>
    <row r="38" spans="1:9" x14ac:dyDescent="0.25">
      <c r="A38" s="1"/>
      <c r="B38" s="66"/>
      <c r="C38" s="67"/>
      <c r="D38" s="67"/>
      <c r="E38" s="67"/>
      <c r="F38" s="67"/>
      <c r="G38" s="58"/>
      <c r="H38" s="19"/>
      <c r="I38" s="1"/>
    </row>
    <row r="39" spans="1:9" x14ac:dyDescent="0.25">
      <c r="A39" s="1"/>
      <c r="B39" s="1"/>
      <c r="C39" s="1"/>
      <c r="D39" s="1"/>
      <c r="E39" s="1"/>
      <c r="F39" s="1"/>
      <c r="G39" s="59"/>
      <c r="H39" s="1"/>
      <c r="I39" s="1"/>
    </row>
    <row r="40" spans="1:9" x14ac:dyDescent="0.25">
      <c r="A40" s="1"/>
      <c r="B40" s="122" t="s">
        <v>198</v>
      </c>
      <c r="C40" s="123"/>
      <c r="D40" s="123"/>
      <c r="E40" s="123"/>
      <c r="F40" s="123"/>
      <c r="G40" s="128"/>
      <c r="H40" s="124"/>
      <c r="I40" s="1"/>
    </row>
    <row r="41" spans="1:9" x14ac:dyDescent="0.25">
      <c r="A41" s="1"/>
      <c r="B41" s="125" t="s">
        <v>73</v>
      </c>
      <c r="C41" s="126"/>
      <c r="D41" s="126"/>
      <c r="E41" s="126"/>
      <c r="F41" s="127"/>
      <c r="G41" s="57">
        <f>(G35+G36-G37)*(1+'Fane 13. Nøgletal'!C15)</f>
        <v>8069108.9088283423</v>
      </c>
      <c r="H41" s="14" t="s">
        <v>3</v>
      </c>
      <c r="I41" s="1"/>
    </row>
    <row r="42" spans="1:9" x14ac:dyDescent="0.25">
      <c r="A42" s="1"/>
      <c r="B42" s="125" t="s">
        <v>197</v>
      </c>
      <c r="C42" s="126"/>
      <c r="D42" s="126"/>
      <c r="E42" s="126"/>
      <c r="F42" s="127"/>
      <c r="G42" s="57">
        <f>('Fane 2.1. Økonomisk ramme 2023'!C9+'Fane 2.1. Økonomisk ramme 2023'!C11+'Fane 2.1. Økonomisk ramme 2023'!C13)*(1+'Fane 13. Nøgletal'!C15)</f>
        <v>720192.93379344011</v>
      </c>
      <c r="H42" s="14" t="s">
        <v>3</v>
      </c>
      <c r="I42" s="1"/>
    </row>
    <row r="43" spans="1:9" x14ac:dyDescent="0.25">
      <c r="A43" s="1"/>
      <c r="B43" s="125" t="s">
        <v>208</v>
      </c>
      <c r="C43" s="126"/>
      <c r="D43" s="126"/>
      <c r="E43" s="126"/>
      <c r="F43" s="127"/>
      <c r="G43" s="57">
        <f>(G41+G42)*'Fane 13. Nøgletal'!C31</f>
        <v>175786.03685243565</v>
      </c>
      <c r="H43" s="14" t="s">
        <v>3</v>
      </c>
      <c r="I43" s="1"/>
    </row>
    <row r="44" spans="1:9" x14ac:dyDescent="0.25">
      <c r="A44" s="1"/>
      <c r="B44" s="66"/>
      <c r="C44" s="67"/>
      <c r="D44" s="67"/>
      <c r="E44" s="67"/>
      <c r="F44" s="67"/>
      <c r="G44" s="58"/>
      <c r="H44" s="19"/>
      <c r="I44" s="1"/>
    </row>
    <row r="45" spans="1:9" x14ac:dyDescent="0.25">
      <c r="A45" s="1"/>
      <c r="B45" s="1"/>
      <c r="C45" s="1"/>
      <c r="D45" s="1"/>
      <c r="E45" s="1"/>
      <c r="F45" s="1"/>
      <c r="G45" s="59"/>
      <c r="H45" s="1"/>
      <c r="I45" s="1"/>
    </row>
    <row r="46" spans="1:9" x14ac:dyDescent="0.25">
      <c r="A46" s="1"/>
      <c r="B46" s="122" t="s">
        <v>199</v>
      </c>
      <c r="C46" s="123"/>
      <c r="D46" s="123"/>
      <c r="E46" s="123"/>
      <c r="F46" s="123"/>
      <c r="G46" s="128"/>
      <c r="H46" s="124"/>
      <c r="I46" s="1"/>
    </row>
    <row r="47" spans="1:9" x14ac:dyDescent="0.25">
      <c r="A47" s="1"/>
      <c r="B47" s="125" t="s">
        <v>122</v>
      </c>
      <c r="C47" s="126"/>
      <c r="D47" s="126"/>
      <c r="E47" s="126"/>
      <c r="F47" s="127"/>
      <c r="G47" s="57">
        <f>(G41+G42-G43)*(1+'Fane 13. Nøgletal'!C15)</f>
        <v>8920156.9684547354</v>
      </c>
      <c r="H47" s="14" t="s">
        <v>3</v>
      </c>
      <c r="I47" s="1"/>
    </row>
    <row r="48" spans="1:9" x14ac:dyDescent="0.25">
      <c r="A48" s="1"/>
      <c r="B48" s="125" t="s">
        <v>209</v>
      </c>
      <c r="C48" s="126"/>
      <c r="D48" s="126"/>
      <c r="E48" s="126"/>
      <c r="F48" s="127"/>
      <c r="G48" s="57">
        <f>(G47)*'Fane 13. Nøgletal'!C31</f>
        <v>178403.13936909472</v>
      </c>
      <c r="H48" s="14" t="s">
        <v>3</v>
      </c>
      <c r="I48" s="1"/>
    </row>
    <row r="49" spans="1:9" x14ac:dyDescent="0.25">
      <c r="A49" s="1"/>
      <c r="B49" s="66"/>
      <c r="C49" s="67"/>
      <c r="D49" s="67"/>
      <c r="E49" s="67"/>
      <c r="F49" s="67"/>
      <c r="G49" s="58"/>
      <c r="H49" s="19"/>
      <c r="I49" s="1"/>
    </row>
    <row r="50" spans="1:9" x14ac:dyDescent="0.25">
      <c r="A50" s="1"/>
      <c r="B50" s="1"/>
      <c r="C50" s="1"/>
      <c r="D50" s="1"/>
      <c r="E50" s="1"/>
      <c r="F50" s="1"/>
      <c r="G50" s="59"/>
      <c r="H50" s="1"/>
      <c r="I50" s="1"/>
    </row>
    <row r="51" spans="1:9" x14ac:dyDescent="0.25">
      <c r="A51" s="1"/>
      <c r="B51" s="122" t="s">
        <v>145</v>
      </c>
      <c r="C51" s="123"/>
      <c r="D51" s="123"/>
      <c r="E51" s="123"/>
      <c r="F51" s="123"/>
      <c r="G51" s="128"/>
      <c r="H51" s="124"/>
      <c r="I51" s="1"/>
    </row>
    <row r="52" spans="1:9" x14ac:dyDescent="0.25">
      <c r="A52" s="1"/>
      <c r="B52" s="125" t="s">
        <v>146</v>
      </c>
      <c r="C52" s="126"/>
      <c r="D52" s="126"/>
      <c r="E52" s="126"/>
      <c r="F52" s="127"/>
      <c r="G52" s="57">
        <f>(G47-G48)*(1+'Fane 13. Nøgletal'!C15)</f>
        <v>9052960.2654010896</v>
      </c>
      <c r="H52" s="14" t="s">
        <v>3</v>
      </c>
      <c r="I52" s="1"/>
    </row>
    <row r="53" spans="1:9" x14ac:dyDescent="0.25">
      <c r="A53" s="1"/>
      <c r="B53" s="125" t="s">
        <v>147</v>
      </c>
      <c r="C53" s="126"/>
      <c r="D53" s="126"/>
      <c r="E53" s="126"/>
      <c r="F53" s="127"/>
      <c r="G53" s="57">
        <f>(G52)*'Fane 13. Nøgletal'!C31</f>
        <v>181059.2053080218</v>
      </c>
      <c r="H53" s="14" t="s">
        <v>3</v>
      </c>
      <c r="I53" s="1"/>
    </row>
    <row r="54" spans="1:9" x14ac:dyDescent="0.25">
      <c r="A54" s="1"/>
      <c r="B54" s="66"/>
      <c r="C54" s="67"/>
      <c r="D54" s="67"/>
      <c r="E54" s="67"/>
      <c r="F54" s="67"/>
      <c r="G54" s="58"/>
      <c r="H54" s="19"/>
      <c r="I54" s="1"/>
    </row>
    <row r="55" spans="1:9" x14ac:dyDescent="0.25">
      <c r="A55" s="1"/>
      <c r="B55" s="1"/>
      <c r="C55" s="1"/>
      <c r="D55" s="1"/>
      <c r="E55" s="1"/>
      <c r="F55" s="1"/>
      <c r="G55" s="59"/>
      <c r="H55" s="1"/>
      <c r="I55" s="1"/>
    </row>
    <row r="56" spans="1:9" x14ac:dyDescent="0.25">
      <c r="A56" s="1"/>
      <c r="B56" s="122" t="s">
        <v>174</v>
      </c>
      <c r="C56" s="123"/>
      <c r="D56" s="123"/>
      <c r="E56" s="123"/>
      <c r="F56" s="123"/>
      <c r="G56" s="128"/>
      <c r="H56" s="124"/>
      <c r="I56" s="1"/>
    </row>
    <row r="57" spans="1:9" x14ac:dyDescent="0.25">
      <c r="A57" s="1"/>
      <c r="B57" s="125" t="s">
        <v>175</v>
      </c>
      <c r="C57" s="126"/>
      <c r="D57" s="126"/>
      <c r="E57" s="126"/>
      <c r="F57" s="127"/>
      <c r="G57" s="57">
        <f>(G52-G53)*(1+'Fane 13. Nøgletal'!C15)</f>
        <v>9187740.7378323823</v>
      </c>
      <c r="H57" s="14" t="s">
        <v>3</v>
      </c>
      <c r="I57" s="1"/>
    </row>
    <row r="58" spans="1:9" x14ac:dyDescent="0.25">
      <c r="A58" s="1"/>
      <c r="B58" s="125" t="s">
        <v>176</v>
      </c>
      <c r="C58" s="126"/>
      <c r="D58" s="126"/>
      <c r="E58" s="126"/>
      <c r="F58" s="127"/>
      <c r="G58" s="57">
        <f>(G57)*'Fane 13. Nøgletal'!C31</f>
        <v>183754.81475664765</v>
      </c>
      <c r="H58" s="14" t="s">
        <v>3</v>
      </c>
      <c r="I58" s="1"/>
    </row>
    <row r="59" spans="1:9" x14ac:dyDescent="0.25">
      <c r="A59" s="1"/>
      <c r="B59" s="66"/>
      <c r="C59" s="67"/>
      <c r="D59" s="67"/>
      <c r="E59" s="67"/>
      <c r="F59" s="67"/>
      <c r="G59" s="40"/>
      <c r="H59" s="19"/>
      <c r="I59" s="1"/>
    </row>
    <row r="60" spans="1:9" x14ac:dyDescent="0.25">
      <c r="A60" s="1"/>
      <c r="B60" s="1"/>
      <c r="C60" s="1"/>
      <c r="D60" s="1"/>
      <c r="E60" s="1"/>
      <c r="F60" s="1"/>
      <c r="G60" s="41"/>
      <c r="H60" s="1"/>
      <c r="I60" s="1"/>
    </row>
    <row r="61" spans="1:9" x14ac:dyDescent="0.25">
      <c r="A61" s="1"/>
      <c r="B61" s="1"/>
      <c r="C61" s="1"/>
      <c r="D61" s="1"/>
      <c r="E61" s="1"/>
      <c r="F61" s="1"/>
      <c r="G61" s="41"/>
      <c r="H61" s="1"/>
      <c r="I61" s="1"/>
    </row>
    <row r="62" spans="1:9" x14ac:dyDescent="0.25">
      <c r="A62" s="1"/>
      <c r="B62" s="1"/>
      <c r="C62" s="1"/>
      <c r="D62" s="1"/>
      <c r="E62" s="1"/>
      <c r="F62" s="1"/>
      <c r="G62" s="41"/>
      <c r="H62" s="1"/>
      <c r="I62" s="1"/>
    </row>
    <row r="63" spans="1:9" x14ac:dyDescent="0.25">
      <c r="A63" s="1"/>
      <c r="B63" s="1"/>
      <c r="C63" s="1"/>
      <c r="D63" s="1"/>
      <c r="E63" s="1"/>
      <c r="F63" s="1"/>
      <c r="G63" s="41"/>
      <c r="H63" s="1"/>
      <c r="I63" s="1"/>
    </row>
    <row r="64" spans="1:9" x14ac:dyDescent="0.25">
      <c r="A64" s="1"/>
      <c r="B64" s="1"/>
      <c r="C64" s="1"/>
      <c r="D64" s="1"/>
      <c r="E64" s="1"/>
      <c r="F64" s="1"/>
      <c r="G64" s="41"/>
      <c r="H64" s="1"/>
      <c r="I64" s="1"/>
    </row>
    <row r="65" spans="1:9" x14ac:dyDescent="0.25">
      <c r="A65" s="1"/>
      <c r="B65" s="1"/>
      <c r="C65" s="1"/>
      <c r="D65" s="1"/>
      <c r="E65" s="1"/>
      <c r="F65" s="1"/>
      <c r="G65" s="41"/>
      <c r="H65" s="1"/>
      <c r="I65" s="1"/>
    </row>
  </sheetData>
  <sheetProtection algorithmName="SHA-512" hashValue="RUf1MvFw9KAUXT/aXdS/JXTBv51+ZmXlEeH0Zfy1pEc0RX6Ah5cHoM0rBv6VldAv1yHNkfMIgDwxTcj9pUMbEg==" saltValue="ZaaMiJ6E6Sewupc7WlcM+Q=="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6.28515625" style="2" customWidth="1"/>
    <col min="2" max="5" width="9" style="2"/>
    <col min="6" max="6" width="24.85546875" style="2" customWidth="1"/>
    <col min="7" max="7" width="10.28515625" style="2" customWidth="1"/>
    <col min="8" max="8" width="2.85546875" style="2" bestFit="1" customWidth="1"/>
    <col min="9" max="9" width="6"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22" t="s">
        <v>53</v>
      </c>
      <c r="C4" s="123"/>
      <c r="D4" s="123"/>
      <c r="E4" s="123"/>
      <c r="F4" s="123"/>
      <c r="G4" s="123"/>
      <c r="H4" s="124"/>
      <c r="I4" s="1"/>
    </row>
    <row r="5" spans="1:9" x14ac:dyDescent="0.25">
      <c r="A5" s="1"/>
      <c r="B5" s="125" t="s">
        <v>56</v>
      </c>
      <c r="C5" s="126"/>
      <c r="D5" s="126"/>
      <c r="E5" s="126"/>
      <c r="F5" s="127"/>
      <c r="G5" s="57">
        <v>3020500</v>
      </c>
      <c r="H5" s="14" t="s">
        <v>3</v>
      </c>
      <c r="I5" s="1"/>
    </row>
    <row r="6" spans="1:9" x14ac:dyDescent="0.25">
      <c r="A6" s="1"/>
      <c r="B6" s="125" t="s">
        <v>54</v>
      </c>
      <c r="C6" s="126"/>
      <c r="D6" s="126"/>
      <c r="E6" s="126"/>
      <c r="F6" s="127"/>
      <c r="G6" s="57">
        <f>G5*'Fane 13. Nøgletal'!C20</f>
        <v>27486.550000000003</v>
      </c>
      <c r="H6" s="14" t="s">
        <v>3</v>
      </c>
      <c r="I6" s="1"/>
    </row>
    <row r="7" spans="1:9" x14ac:dyDescent="0.25">
      <c r="A7" s="1"/>
      <c r="B7" s="66"/>
      <c r="C7" s="67"/>
      <c r="D7" s="67"/>
      <c r="E7" s="67"/>
      <c r="F7" s="67"/>
      <c r="G7" s="60"/>
      <c r="H7" s="19"/>
      <c r="I7" s="1"/>
    </row>
    <row r="8" spans="1:9" x14ac:dyDescent="0.25">
      <c r="A8" s="1"/>
      <c r="B8" s="1"/>
      <c r="C8" s="1"/>
      <c r="D8" s="1"/>
      <c r="E8" s="1"/>
      <c r="F8" s="1"/>
      <c r="G8" s="61"/>
      <c r="H8" s="1"/>
      <c r="I8" s="1"/>
    </row>
    <row r="9" spans="1:9" x14ac:dyDescent="0.25">
      <c r="A9" s="1"/>
      <c r="B9" s="122" t="s">
        <v>57</v>
      </c>
      <c r="C9" s="123"/>
      <c r="D9" s="123"/>
      <c r="E9" s="123"/>
      <c r="F9" s="123"/>
      <c r="G9" s="128"/>
      <c r="H9" s="124"/>
      <c r="I9" s="1"/>
    </row>
    <row r="10" spans="1:9" x14ac:dyDescent="0.25">
      <c r="A10" s="1"/>
      <c r="B10" s="125" t="s">
        <v>58</v>
      </c>
      <c r="C10" s="126"/>
      <c r="D10" s="126"/>
      <c r="E10" s="126"/>
      <c r="F10" s="127"/>
      <c r="G10" s="57">
        <f>(G5-G6)*(1+'Fane 13. Nøgletal'!C9)</f>
        <v>3031024.7208150001</v>
      </c>
      <c r="H10" s="14" t="s">
        <v>3</v>
      </c>
      <c r="I10" s="1"/>
    </row>
    <row r="11" spans="1:9" x14ac:dyDescent="0.25">
      <c r="A11" s="1"/>
      <c r="B11" s="129" t="s">
        <v>59</v>
      </c>
      <c r="C11" s="130"/>
      <c r="D11" s="130"/>
      <c r="E11" s="130"/>
      <c r="F11" s="131"/>
      <c r="G11" s="62">
        <v>0</v>
      </c>
      <c r="H11" s="14" t="s">
        <v>3</v>
      </c>
      <c r="I11" s="1"/>
    </row>
    <row r="12" spans="1:9" x14ac:dyDescent="0.25">
      <c r="A12" s="1"/>
      <c r="B12" s="125" t="s">
        <v>60</v>
      </c>
      <c r="C12" s="126"/>
      <c r="D12" s="126"/>
      <c r="E12" s="126"/>
      <c r="F12" s="127"/>
      <c r="G12" s="57">
        <f>G10*'Fane 13. Nøgletal'!C20+G11*'Fane 13. Nøgletal'!C21</f>
        <v>27582.324959416503</v>
      </c>
      <c r="H12" s="14" t="s">
        <v>3</v>
      </c>
      <c r="I12" s="1"/>
    </row>
    <row r="13" spans="1:9" x14ac:dyDescent="0.25">
      <c r="A13" s="1"/>
      <c r="B13" s="66"/>
      <c r="C13" s="67"/>
      <c r="D13" s="67"/>
      <c r="E13" s="67"/>
      <c r="F13" s="67"/>
      <c r="G13" s="60"/>
      <c r="H13" s="19"/>
      <c r="I13" s="1"/>
    </row>
    <row r="14" spans="1:9" x14ac:dyDescent="0.25">
      <c r="A14" s="1"/>
      <c r="B14" s="1"/>
      <c r="C14" s="1"/>
      <c r="D14" s="1"/>
      <c r="E14" s="1"/>
      <c r="F14" s="1"/>
      <c r="G14" s="61"/>
      <c r="H14" s="1"/>
      <c r="I14" s="1"/>
    </row>
    <row r="15" spans="1:9" x14ac:dyDescent="0.25">
      <c r="A15" s="1"/>
      <c r="B15" s="122" t="s">
        <v>61</v>
      </c>
      <c r="C15" s="123"/>
      <c r="D15" s="123"/>
      <c r="E15" s="123"/>
      <c r="F15" s="123"/>
      <c r="G15" s="128"/>
      <c r="H15" s="124"/>
      <c r="I15" s="1"/>
    </row>
    <row r="16" spans="1:9" x14ac:dyDescent="0.25">
      <c r="A16" s="1"/>
      <c r="B16" s="125" t="s">
        <v>62</v>
      </c>
      <c r="C16" s="126"/>
      <c r="D16" s="126"/>
      <c r="E16" s="126"/>
      <c r="F16" s="127"/>
      <c r="G16" s="57">
        <f>(G10+G11-G12)*(1+'Fane 13. Nøgletal'!C11)</f>
        <v>3054200.5723455427</v>
      </c>
      <c r="H16" s="14" t="s">
        <v>3</v>
      </c>
      <c r="I16" s="1"/>
    </row>
    <row r="17" spans="1:9" x14ac:dyDescent="0.25">
      <c r="A17" s="1"/>
      <c r="B17" s="125" t="s">
        <v>109</v>
      </c>
      <c r="C17" s="126"/>
      <c r="D17" s="126"/>
      <c r="E17" s="126"/>
      <c r="F17" s="127"/>
      <c r="G17" s="57">
        <v>-1008464.5399294044</v>
      </c>
      <c r="H17" s="14" t="s">
        <v>3</v>
      </c>
      <c r="I17" s="1"/>
    </row>
    <row r="18" spans="1:9" x14ac:dyDescent="0.25">
      <c r="A18" s="1"/>
      <c r="B18" s="129" t="s">
        <v>63</v>
      </c>
      <c r="C18" s="130"/>
      <c r="D18" s="130"/>
      <c r="E18" s="130"/>
      <c r="F18" s="131"/>
      <c r="G18" s="57">
        <v>1249970.6287140897</v>
      </c>
      <c r="H18" s="14" t="s">
        <v>3</v>
      </c>
      <c r="I18" s="1"/>
    </row>
    <row r="19" spans="1:9" x14ac:dyDescent="0.25">
      <c r="A19" s="1"/>
      <c r="B19" s="125" t="s">
        <v>64</v>
      </c>
      <c r="C19" s="126"/>
      <c r="D19" s="126"/>
      <c r="E19" s="126"/>
      <c r="F19" s="127"/>
      <c r="G19" s="57">
        <f>(G16+G17+G18)*'Fane 13. Nøgletal'!C22</f>
        <v>28672.647951832983</v>
      </c>
      <c r="H19" s="14" t="s">
        <v>3</v>
      </c>
      <c r="I19" s="1"/>
    </row>
    <row r="20" spans="1:9" x14ac:dyDescent="0.25">
      <c r="A20" s="1"/>
      <c r="B20" s="66"/>
      <c r="C20" s="67"/>
      <c r="D20" s="67"/>
      <c r="E20" s="67"/>
      <c r="F20" s="67"/>
      <c r="G20" s="60"/>
      <c r="H20" s="19"/>
      <c r="I20" s="1"/>
    </row>
    <row r="21" spans="1:9" x14ac:dyDescent="0.25">
      <c r="A21" s="1"/>
      <c r="B21" s="1"/>
      <c r="C21" s="1"/>
      <c r="D21" s="1"/>
      <c r="E21" s="1"/>
      <c r="F21" s="1"/>
      <c r="G21" s="61"/>
      <c r="H21" s="1"/>
      <c r="I21" s="1"/>
    </row>
    <row r="22" spans="1:9" x14ac:dyDescent="0.25">
      <c r="A22" s="1"/>
      <c r="B22" s="122" t="s">
        <v>65</v>
      </c>
      <c r="C22" s="123"/>
      <c r="D22" s="123"/>
      <c r="E22" s="123"/>
      <c r="F22" s="123"/>
      <c r="G22" s="128"/>
      <c r="H22" s="124"/>
      <c r="I22" s="1"/>
    </row>
    <row r="23" spans="1:9" x14ac:dyDescent="0.25">
      <c r="A23" s="1"/>
      <c r="B23" s="125" t="s">
        <v>66</v>
      </c>
      <c r="C23" s="126"/>
      <c r="D23" s="126"/>
      <c r="E23" s="126"/>
      <c r="F23" s="127"/>
      <c r="G23" s="57">
        <f>(SUM(G16:G18)-G19)*(1+'Fane 13. Nøgletal'!C11)</f>
        <v>3322246.8880011099</v>
      </c>
      <c r="H23" s="14" t="s">
        <v>3</v>
      </c>
      <c r="I23" s="1"/>
    </row>
    <row r="24" spans="1:9" x14ac:dyDescent="0.25">
      <c r="A24" s="1"/>
      <c r="B24" s="129" t="s">
        <v>67</v>
      </c>
      <c r="C24" s="130"/>
      <c r="D24" s="130"/>
      <c r="E24" s="130"/>
      <c r="F24" s="131"/>
      <c r="G24" s="57">
        <v>3736826.079918175</v>
      </c>
      <c r="H24" s="14" t="s">
        <v>3</v>
      </c>
      <c r="I24" s="1"/>
    </row>
    <row r="25" spans="1:9" x14ac:dyDescent="0.25">
      <c r="A25" s="1"/>
      <c r="B25" s="125" t="s">
        <v>68</v>
      </c>
      <c r="C25" s="126"/>
      <c r="D25" s="126"/>
      <c r="E25" s="126"/>
      <c r="F25" s="127"/>
      <c r="G25" s="57">
        <f>G23*'Fane 13. Nøgletal'!C22+G24*'Fane 13. Nøgletal'!C23</f>
        <v>135029.40859528581</v>
      </c>
      <c r="H25" s="14" t="s">
        <v>3</v>
      </c>
      <c r="I25" s="1"/>
    </row>
    <row r="26" spans="1:9" x14ac:dyDescent="0.25">
      <c r="A26" s="1"/>
      <c r="B26" s="66"/>
      <c r="C26" s="67"/>
      <c r="D26" s="67"/>
      <c r="E26" s="67"/>
      <c r="F26" s="67"/>
      <c r="G26" s="60"/>
      <c r="H26" s="19"/>
      <c r="I26" s="1"/>
    </row>
    <row r="27" spans="1:9" x14ac:dyDescent="0.25">
      <c r="A27" s="1"/>
      <c r="B27" s="1"/>
      <c r="C27" s="1"/>
      <c r="D27" s="1"/>
      <c r="E27" s="1"/>
      <c r="F27" s="1"/>
      <c r="G27" s="61"/>
      <c r="H27" s="1"/>
      <c r="I27" s="1"/>
    </row>
    <row r="28" spans="1:9" x14ac:dyDescent="0.25">
      <c r="A28" s="1"/>
      <c r="B28" s="122" t="s">
        <v>130</v>
      </c>
      <c r="C28" s="123"/>
      <c r="D28" s="123"/>
      <c r="E28" s="123"/>
      <c r="F28" s="123"/>
      <c r="G28" s="128"/>
      <c r="H28" s="124"/>
      <c r="I28" s="1"/>
    </row>
    <row r="29" spans="1:9" x14ac:dyDescent="0.25">
      <c r="A29" s="1"/>
      <c r="B29" s="125" t="s">
        <v>69</v>
      </c>
      <c r="C29" s="126"/>
      <c r="D29" s="126"/>
      <c r="E29" s="126"/>
      <c r="F29" s="127"/>
      <c r="G29" s="57">
        <f>(G23+G24-G25)*(1+'Fane 13. Nøgletal'!C13)</f>
        <v>7008516.890747752</v>
      </c>
      <c r="H29" s="14" t="s">
        <v>3</v>
      </c>
      <c r="I29" s="1"/>
    </row>
    <row r="30" spans="1:9" x14ac:dyDescent="0.25">
      <c r="A30" s="1"/>
      <c r="B30" s="125" t="s">
        <v>123</v>
      </c>
      <c r="C30" s="126"/>
      <c r="D30" s="126"/>
      <c r="E30" s="126"/>
      <c r="F30" s="127"/>
      <c r="G30" s="57">
        <v>173568.81898439999</v>
      </c>
      <c r="H30" s="14" t="s">
        <v>3</v>
      </c>
      <c r="I30" s="1"/>
    </row>
    <row r="31" spans="1:9" x14ac:dyDescent="0.25">
      <c r="A31" s="1"/>
      <c r="B31" s="125" t="s">
        <v>131</v>
      </c>
      <c r="C31" s="126"/>
      <c r="D31" s="126"/>
      <c r="E31" s="126"/>
      <c r="F31" s="127"/>
      <c r="G31" s="57">
        <f>(G29+G30)*'Fane 13. Nøgletal'!C24</f>
        <v>197507.35701763417</v>
      </c>
      <c r="H31" s="14" t="s">
        <v>3</v>
      </c>
      <c r="I31" s="1"/>
    </row>
    <row r="32" spans="1:9" x14ac:dyDescent="0.25">
      <c r="A32" s="1"/>
      <c r="B32" s="66"/>
      <c r="C32" s="67"/>
      <c r="D32" s="67"/>
      <c r="E32" s="67"/>
      <c r="F32" s="67"/>
      <c r="G32" s="60"/>
      <c r="H32" s="19"/>
      <c r="I32" s="1"/>
    </row>
    <row r="33" spans="1:9" x14ac:dyDescent="0.25">
      <c r="A33" s="1"/>
      <c r="B33" s="1"/>
      <c r="C33" s="1"/>
      <c r="D33" s="1"/>
      <c r="E33" s="1"/>
      <c r="F33" s="1"/>
      <c r="G33" s="61"/>
      <c r="H33" s="1"/>
      <c r="I33" s="1"/>
    </row>
    <row r="34" spans="1:9" x14ac:dyDescent="0.25">
      <c r="A34" s="1"/>
      <c r="B34" s="122" t="s">
        <v>135</v>
      </c>
      <c r="C34" s="123"/>
      <c r="D34" s="123"/>
      <c r="E34" s="123"/>
      <c r="F34" s="123"/>
      <c r="G34" s="128"/>
      <c r="H34" s="124"/>
      <c r="I34" s="1"/>
    </row>
    <row r="35" spans="1:9" x14ac:dyDescent="0.25">
      <c r="A35" s="1"/>
      <c r="B35" s="125" t="s">
        <v>72</v>
      </c>
      <c r="C35" s="126"/>
      <c r="D35" s="126"/>
      <c r="E35" s="126"/>
      <c r="F35" s="127"/>
      <c r="G35" s="57">
        <f>(G29+G30-G31)*(1+'Fane 13. Nøgletal'!C13)</f>
        <v>7069790.2086176341</v>
      </c>
      <c r="H35" s="14" t="s">
        <v>3</v>
      </c>
      <c r="I35" s="1"/>
    </row>
    <row r="36" spans="1:9" x14ac:dyDescent="0.25">
      <c r="A36" s="1"/>
      <c r="B36" s="125" t="s">
        <v>141</v>
      </c>
      <c r="C36" s="126"/>
      <c r="D36" s="126"/>
      <c r="E36" s="126"/>
      <c r="F36" s="127"/>
      <c r="G36" s="57">
        <f>SUM('Fane 3. Omkostninger i ØR2022'!E11)*(1+'Fane 13. Nøgletal'!C14)</f>
        <v>3185.9234668500003</v>
      </c>
      <c r="H36" s="14" t="s">
        <v>3</v>
      </c>
      <c r="I36" s="1"/>
    </row>
    <row r="37" spans="1:9" x14ac:dyDescent="0.25">
      <c r="A37" s="1"/>
      <c r="B37" s="125" t="s">
        <v>136</v>
      </c>
      <c r="C37" s="126"/>
      <c r="D37" s="126"/>
      <c r="E37" s="126"/>
      <c r="F37" s="127"/>
      <c r="G37" s="57">
        <f>G35*'Fane 13. Nøgletal'!C24+G36*'Fane 13. Nøgletal'!C25</f>
        <v>194466.3824042943</v>
      </c>
      <c r="H37" s="14" t="s">
        <v>3</v>
      </c>
      <c r="I37" s="1"/>
    </row>
    <row r="38" spans="1:9" x14ac:dyDescent="0.25">
      <c r="A38" s="1"/>
      <c r="B38" s="66"/>
      <c r="C38" s="67"/>
      <c r="D38" s="67"/>
      <c r="E38" s="67"/>
      <c r="F38" s="67"/>
      <c r="G38" s="60"/>
      <c r="H38" s="19"/>
      <c r="I38" s="1"/>
    </row>
    <row r="39" spans="1:9" x14ac:dyDescent="0.25">
      <c r="A39" s="1"/>
      <c r="B39" s="1"/>
      <c r="C39" s="1"/>
      <c r="D39" s="1"/>
      <c r="E39" s="1"/>
      <c r="F39" s="1"/>
      <c r="G39" s="61"/>
      <c r="H39" s="1"/>
      <c r="I39" s="1"/>
    </row>
    <row r="40" spans="1:9" x14ac:dyDescent="0.25">
      <c r="A40" s="1"/>
      <c r="B40" s="122" t="s">
        <v>200</v>
      </c>
      <c r="C40" s="123"/>
      <c r="D40" s="123"/>
      <c r="E40" s="123"/>
      <c r="F40" s="123"/>
      <c r="G40" s="128"/>
      <c r="H40" s="124"/>
      <c r="I40" s="1"/>
    </row>
    <row r="41" spans="1:9" x14ac:dyDescent="0.25">
      <c r="A41" s="1"/>
      <c r="B41" s="125" t="s">
        <v>71</v>
      </c>
      <c r="C41" s="126"/>
      <c r="D41" s="126"/>
      <c r="E41" s="126"/>
      <c r="F41" s="127"/>
      <c r="G41" s="57">
        <f>(G35+G36-G37)*(1+'Fane 13. Nøgletal'!C15)</f>
        <v>7123384.6967688054</v>
      </c>
      <c r="H41" s="14" t="s">
        <v>3</v>
      </c>
      <c r="I41" s="1"/>
    </row>
    <row r="42" spans="1:9" x14ac:dyDescent="0.25">
      <c r="A42" s="1"/>
      <c r="B42" s="125" t="s">
        <v>211</v>
      </c>
      <c r="C42" s="126"/>
      <c r="D42" s="126"/>
      <c r="E42" s="126"/>
      <c r="F42" s="127"/>
      <c r="G42" s="62">
        <f>SUM('Fane 2.1. Økonomisk ramme 2023'!C10+'Fane 2.1. Økonomisk ramme 2023'!C12+'Fane 2.1. Økonomisk ramme 2023'!C14)*(1+'Fane 13. Nøgletal'!C15)</f>
        <v>0</v>
      </c>
      <c r="H42" s="14" t="s">
        <v>3</v>
      </c>
      <c r="I42" s="1"/>
    </row>
    <row r="43" spans="1:9" x14ac:dyDescent="0.25">
      <c r="A43" s="1"/>
      <c r="B43" s="125" t="s">
        <v>70</v>
      </c>
      <c r="C43" s="126"/>
      <c r="D43" s="126"/>
      <c r="E43" s="126"/>
      <c r="F43" s="127"/>
      <c r="G43" s="57">
        <f>(G41+G42)*'Fane 13. Nøgletal'!C26</f>
        <v>0</v>
      </c>
      <c r="H43" s="14" t="s">
        <v>3</v>
      </c>
      <c r="I43" s="1"/>
    </row>
    <row r="44" spans="1:9" x14ac:dyDescent="0.25">
      <c r="A44" s="1"/>
      <c r="B44" s="66"/>
      <c r="C44" s="67"/>
      <c r="D44" s="67"/>
      <c r="E44" s="67"/>
      <c r="F44" s="67"/>
      <c r="G44" s="60"/>
      <c r="H44" s="19"/>
      <c r="I44" s="1"/>
    </row>
    <row r="45" spans="1:9" ht="12" customHeight="1" x14ac:dyDescent="0.25">
      <c r="A45" s="1"/>
      <c r="B45" s="1"/>
      <c r="C45" s="1"/>
      <c r="D45" s="1"/>
      <c r="E45" s="1"/>
      <c r="F45" s="1"/>
      <c r="G45" s="61"/>
      <c r="H45" s="1"/>
      <c r="I45" s="1"/>
    </row>
    <row r="46" spans="1:9" x14ac:dyDescent="0.25">
      <c r="A46" s="1"/>
      <c r="B46" s="122" t="s">
        <v>201</v>
      </c>
      <c r="C46" s="123"/>
      <c r="D46" s="123"/>
      <c r="E46" s="123"/>
      <c r="F46" s="123"/>
      <c r="G46" s="128"/>
      <c r="H46" s="124"/>
      <c r="I46" s="1"/>
    </row>
    <row r="47" spans="1:9" x14ac:dyDescent="0.25">
      <c r="A47" s="1"/>
      <c r="B47" s="125" t="s">
        <v>124</v>
      </c>
      <c r="C47" s="126"/>
      <c r="D47" s="126"/>
      <c r="E47" s="126"/>
      <c r="F47" s="127"/>
      <c r="G47" s="57">
        <f>(G41+G42-G43)*(1+'Fane 13. Nøgletal'!C15)</f>
        <v>7376977.1919737756</v>
      </c>
      <c r="H47" s="14" t="s">
        <v>3</v>
      </c>
      <c r="I47" s="1"/>
    </row>
    <row r="48" spans="1:9" x14ac:dyDescent="0.25">
      <c r="A48" s="1"/>
      <c r="B48" s="125" t="s">
        <v>125</v>
      </c>
      <c r="C48" s="126"/>
      <c r="D48" s="126"/>
      <c r="E48" s="126"/>
      <c r="F48" s="127"/>
      <c r="G48" s="57">
        <f>(G47)*'Fane 13. Nøgletal'!C26</f>
        <v>0</v>
      </c>
      <c r="H48" s="14" t="s">
        <v>3</v>
      </c>
      <c r="I48" s="1"/>
    </row>
    <row r="49" spans="1:9" x14ac:dyDescent="0.25">
      <c r="A49" s="1"/>
      <c r="B49" s="66"/>
      <c r="C49" s="67"/>
      <c r="D49" s="67"/>
      <c r="E49" s="67"/>
      <c r="F49" s="67"/>
      <c r="G49" s="60"/>
      <c r="H49" s="19"/>
      <c r="I49" s="1"/>
    </row>
    <row r="50" spans="1:9" x14ac:dyDescent="0.25">
      <c r="A50" s="1"/>
      <c r="B50" s="1"/>
      <c r="C50" s="1"/>
      <c r="D50" s="1"/>
      <c r="E50" s="1"/>
      <c r="F50" s="1"/>
      <c r="G50" s="61"/>
      <c r="H50" s="1"/>
      <c r="I50" s="1"/>
    </row>
    <row r="51" spans="1:9" x14ac:dyDescent="0.25">
      <c r="A51" s="1"/>
      <c r="B51" s="122" t="s">
        <v>142</v>
      </c>
      <c r="C51" s="123"/>
      <c r="D51" s="123"/>
      <c r="E51" s="123"/>
      <c r="F51" s="123"/>
      <c r="G51" s="128"/>
      <c r="H51" s="124"/>
      <c r="I51" s="1"/>
    </row>
    <row r="52" spans="1:9" x14ac:dyDescent="0.25">
      <c r="A52" s="1"/>
      <c r="B52" s="125" t="s">
        <v>143</v>
      </c>
      <c r="C52" s="126"/>
      <c r="D52" s="126"/>
      <c r="E52" s="126"/>
      <c r="F52" s="127"/>
      <c r="G52" s="57">
        <f>(G47-G48)*(1+'Fane 13. Nøgletal'!C15)</f>
        <v>7639597.580008043</v>
      </c>
      <c r="H52" s="14" t="s">
        <v>3</v>
      </c>
      <c r="I52" s="1"/>
    </row>
    <row r="53" spans="1:9" x14ac:dyDescent="0.25">
      <c r="A53" s="1"/>
      <c r="B53" s="125" t="s">
        <v>144</v>
      </c>
      <c r="C53" s="126"/>
      <c r="D53" s="126"/>
      <c r="E53" s="126"/>
      <c r="F53" s="127"/>
      <c r="G53" s="57">
        <f>(G52)*'Fane 13. Nøgletal'!C26</f>
        <v>0</v>
      </c>
      <c r="H53" s="14" t="s">
        <v>3</v>
      </c>
      <c r="I53" s="1"/>
    </row>
    <row r="54" spans="1:9" x14ac:dyDescent="0.25">
      <c r="A54" s="1"/>
      <c r="B54" s="66"/>
      <c r="C54" s="67"/>
      <c r="D54" s="67"/>
      <c r="E54" s="67"/>
      <c r="F54" s="67"/>
      <c r="G54" s="60"/>
      <c r="H54" s="19"/>
      <c r="I54" s="1"/>
    </row>
    <row r="55" spans="1:9" x14ac:dyDescent="0.25">
      <c r="A55" s="1"/>
      <c r="B55" s="1"/>
      <c r="C55" s="1"/>
      <c r="D55" s="1"/>
      <c r="E55" s="1"/>
      <c r="F55" s="1"/>
      <c r="G55" s="61"/>
      <c r="H55" s="1"/>
      <c r="I55" s="1"/>
    </row>
    <row r="56" spans="1:9" x14ac:dyDescent="0.25">
      <c r="A56" s="1"/>
      <c r="B56" s="122" t="s">
        <v>177</v>
      </c>
      <c r="C56" s="123"/>
      <c r="D56" s="123"/>
      <c r="E56" s="123"/>
      <c r="F56" s="123"/>
      <c r="G56" s="128"/>
      <c r="H56" s="124"/>
      <c r="I56" s="1"/>
    </row>
    <row r="57" spans="1:9" x14ac:dyDescent="0.25">
      <c r="A57" s="1"/>
      <c r="B57" s="125" t="s">
        <v>178</v>
      </c>
      <c r="C57" s="126"/>
      <c r="D57" s="126"/>
      <c r="E57" s="126"/>
      <c r="F57" s="127"/>
      <c r="G57" s="57">
        <f>(G52-G53)*(1+'Fane 13. Nøgletal'!C15)</f>
        <v>7911567.2538563302</v>
      </c>
      <c r="H57" s="14" t="s">
        <v>3</v>
      </c>
      <c r="I57" s="1"/>
    </row>
    <row r="58" spans="1:9" x14ac:dyDescent="0.25">
      <c r="A58" s="1"/>
      <c r="B58" s="125" t="s">
        <v>179</v>
      </c>
      <c r="C58" s="126"/>
      <c r="D58" s="126"/>
      <c r="E58" s="126"/>
      <c r="F58" s="127"/>
      <c r="G58" s="57">
        <f>(G57)*'Fane 13. Nøgletal'!C26</f>
        <v>0</v>
      </c>
      <c r="H58" s="14" t="s">
        <v>3</v>
      </c>
      <c r="I58" s="1"/>
    </row>
    <row r="59" spans="1:9" x14ac:dyDescent="0.25">
      <c r="A59" s="1"/>
      <c r="B59" s="66"/>
      <c r="C59" s="67"/>
      <c r="D59" s="67"/>
      <c r="E59" s="67"/>
      <c r="F59" s="67"/>
      <c r="G59" s="67"/>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ZKMj/mmiYhtOBtvckZLJSp7tj1PUNocda9ldBxCgquLSKgEbnFZ+9Wx4zUu8TEuAPyYV3/o2E65ZmTuOCRYu7A==" saltValue="dDjTGx1tI7c4kGTxYdMauA=="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9"/>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2" t="s">
        <v>9</v>
      </c>
      <c r="C8" s="123"/>
      <c r="D8" s="123"/>
      <c r="E8" s="123"/>
      <c r="F8" s="123"/>
      <c r="G8" s="123"/>
      <c r="H8" s="1"/>
    </row>
    <row r="9" spans="1:8" x14ac:dyDescent="0.25">
      <c r="A9" s="1"/>
      <c r="B9" s="75" t="s">
        <v>180</v>
      </c>
      <c r="C9" s="76"/>
      <c r="D9" s="76"/>
      <c r="E9" s="76"/>
      <c r="F9" s="77"/>
      <c r="G9" s="27">
        <v>2.120236593262425E-3</v>
      </c>
      <c r="H9" s="1"/>
    </row>
    <row r="10" spans="1:8" x14ac:dyDescent="0.25">
      <c r="A10" s="1"/>
      <c r="B10" s="66"/>
      <c r="C10" s="67"/>
      <c r="D10" s="67"/>
      <c r="E10" s="67"/>
      <c r="F10" s="67"/>
      <c r="G10" s="67"/>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sheetData>
  <sheetProtection algorithmName="SHA-512" hashValue="Isx39tViU3e/GUADbq4Xg6A+BkV/vc3WNSlV4pdFSb5U6xpoInzuiva/qn1eVJD+LNTzfrzjvg4eLD4tfLSLhA==" saltValue="E8QKsn4fSe6kcpQGq9tE0g=="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2022-12-01T09:33:08Z</dcterms:modified>
</cp:coreProperties>
</file>