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Middelfart Spildevand AS (S067)\ØR2025\"/>
    </mc:Choice>
  </mc:AlternateContent>
  <xr:revisionPtr revIDLastSave="0" documentId="13_ncr:1_{F8C29A4A-8E18-4AE8-863D-536465478499}"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<sst xmlns="http://schemas.openxmlformats.org/spreadsheetml/2006/main" count="549" uniqueCount="234">
  <si>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</si>
  <si>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</si>
  <si>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</si>
  <si>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</si>
  <si>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</si>
  <si>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</si>
  <si>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</si>
  <si>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</si>
  <si>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</si>
  <si>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</si>
  <si>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</si>
  <si>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</si>
  <si>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</si>
  <si>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</si>
  <si>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</si>
  <si>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</si>
  <si>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</si>
  <si>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</si>
  <si>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</si>
  <si>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</si>
  <si>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</si>
  <si>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</si>
  <si>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</si>
  <si>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</si>
  <si>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</si>
  <si>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</si>
  <si>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</si>
  <si>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</si>
  <si>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</si>
  <si>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</si>
  <si>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</si>
  <si>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</si>
  <si>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</si>
  <si>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</si>
  <si>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</si>
  <si>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</si>
  <si>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</si>
  <si>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</si>
  <si>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</si>
  <si>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</si>
  <si>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</si>
  <si>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</si>
  <si>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</si>
  <si>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</si>
  <si>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</si>
  <si>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</si>
  <si>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</si>
  <si>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</si>
  <si>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</si>
  <si>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</si>
  <si>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</si>
  <si>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</si>
  <si>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</si>
  <si>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</si>
  <si>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</si>
  <si>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</si>
  <si>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</si>
  <si>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</si>
  <si>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</si>
  <si>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</si>
  <si>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</si>
  <si>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</si>
  <si>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</si>
  <si>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</si>
  <si>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</si>
  <si>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</si>
  <si>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</si>
  <si>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</si>
  <si>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</si>
  <si>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</si>
  <si>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</si>
  <si>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</si>
  <si>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</si>
  <si>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</si>
  <si>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</si>
  <si>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</si>
  <si>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</si>
  <si>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</si>
  <si>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</si>
  <si>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</si>
  <si>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</si>
  <si>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</si>
  <si>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</si>
  <si>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</si>
  <si>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</si>
  <si>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</si>
  <si>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</si>
  <si>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</si>
  <si>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</si>
  <si>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</si>
  <si>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</si>
  <si>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</si>
  <si>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</si>
  <si>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</si>
  <si>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</si>
  <si>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</si>
  <si>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</si>
  <si>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</si>
  <si>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</si>
  <si>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</si>
  <si>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</si>
  <si>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</si>
  <si>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</si>
  <si>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</si>
  <si>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</si>
  <si>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</si>
  <si>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</si>
  <si>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</si>
  <si>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</si>
  <si>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</si>
  <si>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</si>
  <si>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</si>
  <si>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</si>
  <si>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</si>
  <si>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</si>
  <si>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</si>
  <si>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</si>
  <si>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</si>
  <si>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</si>
  <si>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</si>
  <si>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</si>
  <si>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</si>
  <si>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</si>
  <si>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</si>
  <si>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</si>
  <si>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</si>
  <si>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</si>
  <si>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</si>
  <si>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</si>
  <si>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</si>
  <si>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</si>
  <si>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</si>
  <si>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</si>
  <si>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</si>
  <si>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</si>
  <si>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</si>
  <si>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</si>
  <si>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</si>
  <si>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</si>
  <si>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</si>
  <si>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</si>
  <si>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</si>
  <si>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</si>
  <si>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</si>
  <si>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</si>
  <si>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</si>
  <si>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</si>
  <si>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</si>
  <si>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</si>
  <si>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</si>
  <si>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</si>
  <si>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</si>
  <si>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</si>
  <si>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</si>
  <si>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</si>
  <si>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</si>
  <si>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</si>
  <si>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</si>
  <si>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</si>
  <si>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</si>
  <si>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</si>
  <si>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</si>
  <si>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</si>
  <si>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</si>
  <si>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</si>
  <si>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</si>
  <si>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</si>
  <si>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</si>
  <si>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</si>
  <si>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</si>
  <si>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</si>
  <si>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</si>
  <si>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</si>
  <si>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</si>
  <si>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</si>
  <si>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</si>
  <si>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</si>
  <si>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</si>
  <si>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</si>
  <si>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</si>
  <si>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</si>
  <si>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</si>
  <si>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</si>
  <si>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</si>
  <si>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</si>
  <si>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</si>
  <si>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</si>
  <si>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</si>
  <si>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</si>
  <si>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</si>
  <si>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</si>
  <si>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</si>
  <si>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</si>
  <si>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</si>
  <si>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</si>
  <si>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</si>
  <si>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</si>
  <si>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</si>
  <si>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</si>
  <si>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</si>
  <si>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</si>
  <si>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</si>
  <si>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</si>
  <si>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</si>
  <si>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</si>
  <si>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</si>
  <si>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</si>
  <si>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</si>
  <si>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</si>
  <si>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</si>
  <si>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</si>
  <si>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</si>
  <si>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</si>
  <si>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</si>
  <si>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</si>
  <si>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</si>
  <si>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</si>
  <si>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</si>
  <si>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</si>
  <si>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</si>
  <si>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</si>
  <si>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</si>
  <si>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</si>
  <si>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</si>
  <si>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</si>
  <si>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</si>
  <si>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</si>
  <si>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</si>
  <si>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</si>
  <si>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Køb af ydelser og produkter fra andre vandselskaber reguleret af vandsektorloven</t>
  </si>
  <si>
    <t>Ejendomsskatter</t>
  </si>
  <si>
    <t>Gebyr til Miljøstyrelsen</t>
  </si>
  <si>
    <t>Byggemodninger mv. 2023</t>
  </si>
  <si>
    <t>Periodevise driftsomkostninger (Gelsted)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</si>
</sst>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4" t="s">
        <v>4</v>
      </c>
      <c r="D6" s="94"/>
      <c r="E6" s="94"/>
      <c r="F6" s="94"/>
      <c r="G6" s="3"/>
    </row>
    <row r="7" spans="1:7" ht="15" customHeight="1" x14ac:dyDescent="0.25">
      <c r="A7" s="1"/>
      <c r="B7" s="3"/>
      <c r="C7" s="94"/>
      <c r="D7" s="94"/>
      <c r="E7" s="94"/>
      <c r="F7" s="94"/>
      <c r="G7" s="3"/>
    </row>
    <row r="8" spans="1:7" ht="15.75" x14ac:dyDescent="0.25">
      <c r="A8" s="1"/>
      <c r="B8" s="4"/>
      <c r="C8" s="99" t="s">
        <v>226</v>
      </c>
      <c r="D8" s="99"/>
      <c r="E8" s="99"/>
      <c r="F8" s="99"/>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8" t="s">
        <v>5</v>
      </c>
      <c r="D11" s="98"/>
      <c r="E11" s="98"/>
      <c r="F11" s="98"/>
      <c r="G11" s="5"/>
    </row>
    <row r="12" spans="1:7" x14ac:dyDescent="0.25">
      <c r="A12" s="1"/>
      <c r="B12" s="1"/>
      <c r="C12" s="1"/>
      <c r="D12" s="1"/>
      <c r="E12" s="1"/>
      <c r="F12" s="1"/>
      <c r="G12" s="5"/>
    </row>
    <row r="13" spans="1:7" x14ac:dyDescent="0.25">
      <c r="A13" s="1"/>
      <c r="B13" s="6" t="s">
        <v>6</v>
      </c>
      <c r="C13" s="100" t="s">
        <v>127</v>
      </c>
      <c r="D13" s="101"/>
      <c r="E13" s="101"/>
      <c r="F13" s="102"/>
      <c r="G13" s="5"/>
    </row>
    <row r="14" spans="1:7" x14ac:dyDescent="0.25">
      <c r="A14" s="1"/>
      <c r="B14" s="6" t="s">
        <v>16</v>
      </c>
      <c r="C14" s="91" t="s">
        <v>186</v>
      </c>
      <c r="D14" s="92"/>
      <c r="E14" s="92"/>
      <c r="F14" s="93"/>
      <c r="G14" s="5"/>
    </row>
    <row r="15" spans="1:7" x14ac:dyDescent="0.25">
      <c r="A15" s="1"/>
      <c r="B15" s="6" t="s">
        <v>30</v>
      </c>
      <c r="C15" s="91" t="s">
        <v>149</v>
      </c>
      <c r="D15" s="92"/>
      <c r="E15" s="92"/>
      <c r="F15" s="93"/>
      <c r="G15" s="5"/>
    </row>
    <row r="16" spans="1:7" x14ac:dyDescent="0.25">
      <c r="A16" s="1"/>
      <c r="B16" s="6" t="s">
        <v>31</v>
      </c>
      <c r="C16" s="91" t="s">
        <v>151</v>
      </c>
      <c r="D16" s="92"/>
      <c r="E16" s="92"/>
      <c r="F16" s="93"/>
      <c r="G16" s="5"/>
    </row>
    <row r="17" spans="1:8" x14ac:dyDescent="0.25">
      <c r="A17" s="1"/>
      <c r="B17" s="6" t="s">
        <v>61</v>
      </c>
      <c r="C17" s="91" t="s">
        <v>152</v>
      </c>
      <c r="D17" s="92"/>
      <c r="E17" s="92"/>
      <c r="F17" s="93"/>
      <c r="G17" s="5"/>
    </row>
    <row r="18" spans="1:8" x14ac:dyDescent="0.25">
      <c r="A18" s="1"/>
      <c r="B18" s="6" t="s">
        <v>53</v>
      </c>
      <c r="C18" s="88" t="s">
        <v>45</v>
      </c>
      <c r="D18" s="89"/>
      <c r="E18" s="89"/>
      <c r="F18" s="90"/>
      <c r="G18" s="5"/>
    </row>
    <row r="19" spans="1:8" x14ac:dyDescent="0.25">
      <c r="A19" s="1"/>
      <c r="B19" s="6" t="s">
        <v>54</v>
      </c>
      <c r="C19" s="88" t="s">
        <v>46</v>
      </c>
      <c r="D19" s="89"/>
      <c r="E19" s="89"/>
      <c r="F19" s="90"/>
      <c r="G19" s="5"/>
    </row>
    <row r="20" spans="1:8" x14ac:dyDescent="0.25">
      <c r="A20" s="1"/>
      <c r="B20" s="6" t="s">
        <v>7</v>
      </c>
      <c r="C20" s="88" t="s">
        <v>10</v>
      </c>
      <c r="D20" s="89"/>
      <c r="E20" s="89"/>
      <c r="F20" s="90"/>
      <c r="G20" s="5"/>
    </row>
    <row r="21" spans="1:8" x14ac:dyDescent="0.25">
      <c r="A21" s="1"/>
      <c r="B21" s="6" t="s">
        <v>55</v>
      </c>
      <c r="C21" s="95" t="s">
        <v>12</v>
      </c>
      <c r="D21" s="96"/>
      <c r="E21" s="96"/>
      <c r="F21" s="97"/>
      <c r="G21" s="5"/>
    </row>
    <row r="22" spans="1:8" x14ac:dyDescent="0.25">
      <c r="A22" s="1"/>
      <c r="B22" s="6" t="s">
        <v>39</v>
      </c>
      <c r="C22" s="82" t="s">
        <v>153</v>
      </c>
      <c r="D22" s="83"/>
      <c r="E22" s="83"/>
      <c r="F22" s="84"/>
      <c r="G22" s="5"/>
    </row>
    <row r="23" spans="1:8" x14ac:dyDescent="0.25">
      <c r="A23" s="1"/>
      <c r="B23" s="6" t="s">
        <v>8</v>
      </c>
      <c r="C23" s="82" t="s">
        <v>112</v>
      </c>
      <c r="D23" s="83"/>
      <c r="E23" s="83"/>
      <c r="F23" s="84"/>
      <c r="G23" s="5"/>
    </row>
    <row r="24" spans="1:8" x14ac:dyDescent="0.25">
      <c r="A24" s="1"/>
      <c r="B24" s="6" t="s">
        <v>9</v>
      </c>
      <c r="C24" s="82" t="s">
        <v>154</v>
      </c>
      <c r="D24" s="83"/>
      <c r="E24" s="83"/>
      <c r="F24" s="84"/>
      <c r="G24" s="5"/>
    </row>
    <row r="25" spans="1:8" x14ac:dyDescent="0.25">
      <c r="A25" s="1"/>
      <c r="B25" s="6" t="s">
        <v>97</v>
      </c>
      <c r="C25" s="82" t="s">
        <v>91</v>
      </c>
      <c r="D25" s="83"/>
      <c r="E25" s="83"/>
      <c r="F25" s="84"/>
      <c r="G25" s="1"/>
    </row>
    <row r="26" spans="1:8" x14ac:dyDescent="0.25">
      <c r="A26" s="1"/>
      <c r="B26" s="6" t="s">
        <v>98</v>
      </c>
      <c r="C26" s="82" t="s">
        <v>40</v>
      </c>
      <c r="D26" s="83"/>
      <c r="E26" s="83"/>
      <c r="F26" s="84"/>
      <c r="G26" s="1"/>
    </row>
    <row r="27" spans="1:8" x14ac:dyDescent="0.25">
      <c r="A27" s="1"/>
      <c r="B27" s="6" t="s">
        <v>99</v>
      </c>
      <c r="C27" s="82" t="s">
        <v>41</v>
      </c>
      <c r="D27" s="83"/>
      <c r="E27" s="83"/>
      <c r="F27" s="84"/>
      <c r="G27" s="1"/>
    </row>
    <row r="28" spans="1:8" x14ac:dyDescent="0.25">
      <c r="A28" s="1"/>
      <c r="B28" s="6" t="s">
        <v>15</v>
      </c>
      <c r="C28" s="82" t="s">
        <v>42</v>
      </c>
      <c r="D28" s="83"/>
      <c r="E28" s="83"/>
      <c r="F28" s="84"/>
      <c r="G28" s="1"/>
      <c r="H28" s="2" t="s">
        <v>150</v>
      </c>
    </row>
    <row r="29" spans="1:8" x14ac:dyDescent="0.25">
      <c r="A29" s="1"/>
      <c r="B29" s="6" t="s">
        <v>33</v>
      </c>
      <c r="C29" s="82" t="s">
        <v>68</v>
      </c>
      <c r="D29" s="83"/>
      <c r="E29" s="83"/>
      <c r="F29" s="84"/>
      <c r="G29" s="1"/>
    </row>
    <row r="30" spans="1:8" x14ac:dyDescent="0.25">
      <c r="A30" s="1"/>
      <c r="B30" s="6" t="s">
        <v>34</v>
      </c>
      <c r="C30" s="82" t="s">
        <v>32</v>
      </c>
      <c r="D30" s="83"/>
      <c r="E30" s="83"/>
      <c r="F30" s="84"/>
      <c r="G30" s="1"/>
    </row>
    <row r="31" spans="1:8" x14ac:dyDescent="0.25">
      <c r="A31" s="1"/>
      <c r="B31" s="6" t="s">
        <v>100</v>
      </c>
      <c r="C31" s="85" t="s">
        <v>52</v>
      </c>
      <c r="D31" s="86"/>
      <c r="E31" s="86"/>
      <c r="F31" s="87"/>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ui/0BEpS5NIPO0LYkm5r7TT0LZvzJsXnupn0f5aK/VoyYA33Twaj4mbNg4CSGHcbXZdcRhLs9AQY6g+DXzSYuA==" saltValue="FR/Ja47Ucsuv32SMmDpMzg=="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58</v>
      </c>
      <c r="C3" s="103"/>
      <c r="D3" s="103"/>
      <c r="E3" s="1"/>
    </row>
    <row r="4" spans="1:5" ht="15" customHeight="1" x14ac:dyDescent="0.25">
      <c r="A4" s="1"/>
      <c r="B4" s="103"/>
      <c r="C4" s="103"/>
      <c r="D4" s="10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7" t="s">
        <v>165</v>
      </c>
      <c r="C8" s="108"/>
      <c r="D8" s="109"/>
      <c r="E8" s="1"/>
    </row>
    <row r="9" spans="1:5" ht="15" customHeight="1" x14ac:dyDescent="0.25">
      <c r="A9" s="1"/>
      <c r="B9" s="27" t="s">
        <v>28</v>
      </c>
      <c r="C9" s="67" t="s">
        <v>166</v>
      </c>
      <c r="D9" s="11"/>
      <c r="E9" s="1"/>
    </row>
    <row r="10" spans="1:5" ht="15" customHeight="1" x14ac:dyDescent="0.25">
      <c r="A10" s="1"/>
      <c r="B10" s="71" t="s">
        <v>227</v>
      </c>
      <c r="C10" s="72">
        <v>1735566</v>
      </c>
      <c r="D10" s="14" t="s">
        <v>3</v>
      </c>
      <c r="E10" s="1"/>
    </row>
    <row r="11" spans="1:5" ht="15" customHeight="1" x14ac:dyDescent="0.25">
      <c r="A11" s="1"/>
      <c r="B11" s="71" t="s">
        <v>228</v>
      </c>
      <c r="C11" s="72">
        <v>72571</v>
      </c>
      <c r="D11" s="14" t="s">
        <v>3</v>
      </c>
      <c r="E11" s="1"/>
    </row>
    <row r="12" spans="1:5" ht="25.5" x14ac:dyDescent="0.25">
      <c r="A12" s="1"/>
      <c r="B12" s="71" t="s">
        <v>229</v>
      </c>
      <c r="C12" s="72">
        <v>182625</v>
      </c>
      <c r="D12" s="14" t="s">
        <v>3</v>
      </c>
      <c r="E12" s="1"/>
    </row>
    <row r="13" spans="1:5" x14ac:dyDescent="0.25">
      <c r="A13" s="1"/>
      <c r="B13" s="71" t="s">
        <v>230</v>
      </c>
      <c r="C13" s="72">
        <v>86869</v>
      </c>
      <c r="D13" s="14" t="s">
        <v>3</v>
      </c>
      <c r="E13" s="1"/>
    </row>
    <row r="14" spans="1:5" x14ac:dyDescent="0.25">
      <c r="A14" s="1"/>
      <c r="B14" s="71" t="s">
        <v>231</v>
      </c>
      <c r="C14" s="72">
        <v>15918</v>
      </c>
      <c r="D14" s="14" t="s">
        <v>3</v>
      </c>
      <c r="E14" s="1"/>
    </row>
    <row r="15" spans="1:5" x14ac:dyDescent="0.25">
      <c r="A15" s="1"/>
      <c r="B15" s="71"/>
      <c r="C15" s="72"/>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33" t="s">
        <v>167</v>
      </c>
      <c r="C20" s="12">
        <f>SUM(C10:C19)</f>
        <v>2093549</v>
      </c>
      <c r="D20" s="13" t="s">
        <v>3</v>
      </c>
      <c r="E20" s="1"/>
    </row>
    <row r="21" spans="1:5" x14ac:dyDescent="0.25">
      <c r="A21" s="1"/>
      <c r="B21" s="33" t="s">
        <v>168</v>
      </c>
      <c r="C21" s="12">
        <f>C20*(1+'Fane 15. Nøgletal'!C10)^2</f>
        <v>2380356.1898038099</v>
      </c>
      <c r="D21" s="13" t="s">
        <v>3</v>
      </c>
      <c r="E21" s="1"/>
    </row>
    <row r="22" spans="1:5" x14ac:dyDescent="0.25">
      <c r="A22" s="1"/>
      <c r="B22" s="16"/>
      <c r="C22" s="15"/>
      <c r="D22" s="15"/>
      <c r="E22" s="1"/>
    </row>
    <row r="23" spans="1:5" x14ac:dyDescent="0.25">
      <c r="A23" s="1"/>
      <c r="B23" s="16"/>
      <c r="C23" s="15"/>
      <c r="D23" s="15"/>
      <c r="E23" s="1"/>
    </row>
    <row r="24" spans="1:5" x14ac:dyDescent="0.25">
      <c r="A24" s="1"/>
      <c r="B24" s="107" t="s">
        <v>60</v>
      </c>
      <c r="C24" s="108"/>
      <c r="D24" s="109"/>
      <c r="E24" s="1"/>
    </row>
    <row r="25" spans="1:5" x14ac:dyDescent="0.25">
      <c r="A25" s="1"/>
      <c r="B25" s="37" t="s">
        <v>72</v>
      </c>
      <c r="C25" s="9"/>
      <c r="D25" s="14" t="s">
        <v>3</v>
      </c>
      <c r="E25" s="1"/>
    </row>
    <row r="26" spans="1:5" x14ac:dyDescent="0.25">
      <c r="A26" s="1"/>
      <c r="B26" s="37" t="s">
        <v>83</v>
      </c>
      <c r="C26" s="9"/>
      <c r="D26" s="14" t="s">
        <v>3</v>
      </c>
      <c r="E26" s="1"/>
    </row>
    <row r="27" spans="1:5" x14ac:dyDescent="0.25">
      <c r="A27" s="1"/>
      <c r="B27" s="37" t="s">
        <v>148</v>
      </c>
      <c r="C27" s="9"/>
      <c r="D27" s="14" t="s">
        <v>3</v>
      </c>
      <c r="E27" s="1"/>
    </row>
    <row r="28" spans="1:5" x14ac:dyDescent="0.25">
      <c r="A28" s="1"/>
      <c r="B28" s="34" t="s">
        <v>169</v>
      </c>
      <c r="C28" s="9"/>
      <c r="D28" s="36" t="s">
        <v>3</v>
      </c>
      <c r="E28" s="1"/>
    </row>
    <row r="29" spans="1:5" x14ac:dyDescent="0.25">
      <c r="A29" s="1"/>
      <c r="B29" s="107"/>
      <c r="C29" s="108"/>
      <c r="D29" s="109"/>
      <c r="E29" s="1"/>
    </row>
    <row r="30" spans="1:5" x14ac:dyDescent="0.25">
      <c r="A30" s="1"/>
      <c r="B30" s="1"/>
      <c r="C30" s="1"/>
      <c r="D30" s="1"/>
      <c r="E30" s="1"/>
    </row>
    <row r="31" spans="1:5" x14ac:dyDescent="0.25">
      <c r="A31" s="1"/>
      <c r="B31" s="1"/>
      <c r="C31" s="1"/>
      <c r="D31" s="1"/>
      <c r="E31" s="1"/>
    </row>
    <row r="32" spans="1:5" x14ac:dyDescent="0.25">
      <c r="A32" s="1"/>
      <c r="B32" s="107" t="s">
        <v>47</v>
      </c>
      <c r="C32" s="108"/>
      <c r="D32" s="109"/>
      <c r="E32" s="1"/>
    </row>
    <row r="33" spans="1:5" x14ac:dyDescent="0.25">
      <c r="A33" s="1"/>
      <c r="B33" s="37" t="s">
        <v>72</v>
      </c>
      <c r="C33" s="9"/>
      <c r="D33" s="14" t="s">
        <v>3</v>
      </c>
      <c r="E33" s="1"/>
    </row>
    <row r="34" spans="1:5" x14ac:dyDescent="0.25">
      <c r="A34" s="1"/>
      <c r="B34" s="37" t="s">
        <v>83</v>
      </c>
      <c r="C34" s="9"/>
      <c r="D34" s="14" t="s">
        <v>3</v>
      </c>
      <c r="E34" s="1"/>
    </row>
    <row r="35" spans="1:5" x14ac:dyDescent="0.25">
      <c r="A35" s="1"/>
      <c r="B35" s="37" t="s">
        <v>148</v>
      </c>
      <c r="C35" s="9"/>
      <c r="D35" s="14" t="s">
        <v>3</v>
      </c>
      <c r="E35" s="1"/>
    </row>
    <row r="36" spans="1:5" x14ac:dyDescent="0.25">
      <c r="A36" s="1"/>
      <c r="B36" s="34" t="s">
        <v>169</v>
      </c>
      <c r="C36" s="9"/>
      <c r="D36" s="36" t="s">
        <v>3</v>
      </c>
      <c r="E36" s="1"/>
    </row>
    <row r="37" spans="1:5" x14ac:dyDescent="0.25">
      <c r="A37" s="1"/>
      <c r="B37" s="107"/>
      <c r="C37" s="108"/>
      <c r="D37" s="109"/>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h3jeuzKV253XOL1jhRoZZBJiM2zX3Xtz74POuQl9Fx3F8pIfg5vX5X8IFWIi7c7Wezs79RKc8EyV7OU16/6sag==" saltValue="3ine7vEuFjfaMXZXPqwGk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201</v>
      </c>
      <c r="C3" s="105"/>
      <c r="D3" s="105"/>
      <c r="E3" s="1"/>
    </row>
    <row r="4" spans="1:5" ht="15" customHeight="1" x14ac:dyDescent="0.25">
      <c r="A4" s="1"/>
      <c r="B4" s="105"/>
      <c r="C4" s="105"/>
      <c r="D4" s="105"/>
      <c r="E4" s="1"/>
    </row>
    <row r="5" spans="1:5" ht="15" customHeight="1" x14ac:dyDescent="0.25">
      <c r="A5" s="1"/>
      <c r="B5" s="105"/>
      <c r="C5" s="105"/>
      <c r="D5" s="105"/>
      <c r="E5" s="1"/>
    </row>
    <row r="6" spans="1:5" ht="15" customHeight="1" x14ac:dyDescent="0.25">
      <c r="A6" s="1"/>
      <c r="B6" s="74"/>
      <c r="C6" s="74"/>
      <c r="D6" s="74"/>
      <c r="E6" s="1"/>
    </row>
    <row r="7" spans="1:5" x14ac:dyDescent="0.25">
      <c r="A7" s="1"/>
      <c r="B7" s="1"/>
      <c r="C7" s="1"/>
      <c r="D7" s="1"/>
      <c r="E7" s="1"/>
    </row>
    <row r="8" spans="1:5" x14ac:dyDescent="0.25">
      <c r="A8" s="1"/>
      <c r="B8" s="107" t="s">
        <v>77</v>
      </c>
      <c r="C8" s="108"/>
      <c r="D8" s="109"/>
      <c r="E8" s="1"/>
    </row>
    <row r="9" spans="1:5" x14ac:dyDescent="0.25">
      <c r="A9" s="1"/>
      <c r="B9" s="65" t="s">
        <v>204</v>
      </c>
      <c r="C9" s="9">
        <v>-2103239.1981053203</v>
      </c>
      <c r="D9" s="14" t="s">
        <v>3</v>
      </c>
      <c r="E9" s="1"/>
    </row>
    <row r="10" spans="1:5" x14ac:dyDescent="0.25">
      <c r="A10" s="1"/>
      <c r="B10" s="33"/>
      <c r="C10" s="28"/>
      <c r="D10" s="19"/>
      <c r="E10" s="1"/>
    </row>
    <row r="11" spans="1:5" ht="53.25" customHeight="1" x14ac:dyDescent="0.25">
      <c r="A11" s="1"/>
      <c r="B11" s="118" t="s">
        <v>212</v>
      </c>
      <c r="C11" s="119"/>
      <c r="D11" s="120"/>
      <c r="E11" s="1"/>
    </row>
    <row r="12" spans="1:5" x14ac:dyDescent="0.25">
      <c r="A12" s="1"/>
      <c r="B12" s="1"/>
      <c r="C12" s="1"/>
      <c r="D12" s="1"/>
      <c r="E12" s="1"/>
    </row>
    <row r="13" spans="1:5" x14ac:dyDescent="0.25">
      <c r="A13" s="1"/>
      <c r="B13" s="107" t="s">
        <v>78</v>
      </c>
      <c r="C13" s="108"/>
      <c r="D13" s="109"/>
      <c r="E13" s="1"/>
    </row>
    <row r="14" spans="1:5" x14ac:dyDescent="0.25">
      <c r="A14" s="1"/>
      <c r="B14" s="65" t="s">
        <v>202</v>
      </c>
      <c r="C14" s="9">
        <v>-2195511.5750081912</v>
      </c>
      <c r="D14" s="14" t="s">
        <v>3</v>
      </c>
      <c r="E14" s="1"/>
    </row>
    <row r="15" spans="1:5" x14ac:dyDescent="0.25">
      <c r="A15" s="1"/>
      <c r="B15" s="65" t="s">
        <v>203</v>
      </c>
      <c r="C15" s="9">
        <v>-2195511.5750081912</v>
      </c>
      <c r="D15" s="14" t="s">
        <v>3</v>
      </c>
      <c r="E15" s="1"/>
    </row>
    <row r="16" spans="1:5" x14ac:dyDescent="0.25">
      <c r="A16" s="1"/>
      <c r="B16" s="33"/>
      <c r="C16" s="28"/>
      <c r="D16" s="19"/>
      <c r="E16" s="1"/>
    </row>
    <row r="17" spans="1:5" ht="29.25" customHeight="1" x14ac:dyDescent="0.25">
      <c r="A17" s="1"/>
      <c r="B17" s="118" t="s">
        <v>121</v>
      </c>
      <c r="C17" s="119"/>
      <c r="D17" s="120"/>
      <c r="E17" s="1"/>
    </row>
    <row r="18" spans="1:5" x14ac:dyDescent="0.25">
      <c r="A18" s="1"/>
      <c r="B18" s="1"/>
      <c r="C18" s="1"/>
      <c r="D18" s="1"/>
      <c r="E18" s="1"/>
    </row>
    <row r="19" spans="1:5" x14ac:dyDescent="0.25">
      <c r="A19" s="1"/>
      <c r="B19" s="75" t="s">
        <v>205</v>
      </c>
      <c r="C19" s="76"/>
      <c r="D19" s="77"/>
      <c r="E19" s="1"/>
    </row>
    <row r="20" spans="1:5" x14ac:dyDescent="0.25">
      <c r="A20" s="1"/>
      <c r="B20" s="65" t="s">
        <v>206</v>
      </c>
      <c r="C20" s="9">
        <v>69064909.098585278</v>
      </c>
      <c r="D20" s="14" t="s">
        <v>3</v>
      </c>
      <c r="E20" s="1"/>
    </row>
    <row r="21" spans="1:5" x14ac:dyDescent="0.25">
      <c r="A21" s="1"/>
      <c r="B21" s="65" t="s">
        <v>207</v>
      </c>
      <c r="C21" s="9">
        <v>72521006</v>
      </c>
      <c r="D21" s="14" t="s">
        <v>3</v>
      </c>
      <c r="E21" s="1"/>
    </row>
    <row r="22" spans="1:5" x14ac:dyDescent="0.25">
      <c r="A22" s="1"/>
      <c r="B22" s="65" t="s">
        <v>29</v>
      </c>
      <c r="C22" s="9">
        <v>0</v>
      </c>
      <c r="D22" s="14" t="s">
        <v>3</v>
      </c>
      <c r="E22" s="1"/>
    </row>
    <row r="23" spans="1:5" x14ac:dyDescent="0.25">
      <c r="A23" s="1"/>
      <c r="B23" s="81" t="s">
        <v>208</v>
      </c>
      <c r="C23" s="57">
        <f>C20-C21-C22</f>
        <v>-3456096.9014147222</v>
      </c>
      <c r="D23" s="17" t="s">
        <v>3</v>
      </c>
      <c r="E23" s="1"/>
    </row>
    <row r="24" spans="1:5" x14ac:dyDescent="0.25">
      <c r="A24" s="1"/>
      <c r="B24" s="33"/>
      <c r="C24" s="28"/>
      <c r="D24" s="19"/>
      <c r="E24" s="1"/>
    </row>
    <row r="25" spans="1:5" x14ac:dyDescent="0.25">
      <c r="A25" s="1"/>
      <c r="B25" s="1"/>
      <c r="C25" s="1"/>
      <c r="D25" s="1"/>
      <c r="E25" s="1"/>
    </row>
    <row r="26" spans="1:5" x14ac:dyDescent="0.25">
      <c r="A26" s="1"/>
      <c r="B26" s="107" t="s">
        <v>209</v>
      </c>
      <c r="C26" s="108"/>
      <c r="D26" s="109"/>
      <c r="E26" s="1"/>
    </row>
    <row r="27" spans="1:5" x14ac:dyDescent="0.25">
      <c r="A27" s="1"/>
      <c r="B27" s="81" t="s">
        <v>210</v>
      </c>
      <c r="C27" s="57">
        <f>IF(AND(C15&lt;0,C23&gt;0,ABS(SUM(C14:C15))&lt;C23),ABS(C14),IF(AND(C15&lt;0,C23&gt;0,ABS(SUM(C14:C15))&gt;C23),SUM(C14,C23),C15))</f>
        <v>-2195511.5750081912</v>
      </c>
      <c r="D27" s="17" t="s">
        <v>3</v>
      </c>
      <c r="E27" s="1"/>
    </row>
    <row r="28" spans="1:5" x14ac:dyDescent="0.25">
      <c r="A28" s="1"/>
      <c r="B28" s="107"/>
      <c r="C28" s="108"/>
      <c r="D28" s="109"/>
      <c r="E28" s="1"/>
    </row>
    <row r="29" spans="1:5" x14ac:dyDescent="0.25">
      <c r="A29" s="1"/>
      <c r="B29" s="1"/>
      <c r="C29" s="1"/>
      <c r="D29" s="1"/>
      <c r="E29" s="1"/>
    </row>
    <row r="30" spans="1:5" x14ac:dyDescent="0.25">
      <c r="A30" s="1"/>
      <c r="B30" s="107" t="s">
        <v>211</v>
      </c>
      <c r="C30" s="108"/>
      <c r="D30" s="109"/>
      <c r="E30" s="1"/>
    </row>
    <row r="31" spans="1:5" x14ac:dyDescent="0.25">
      <c r="A31" s="1"/>
      <c r="B31" s="66" t="s">
        <v>69</v>
      </c>
      <c r="C31" s="58">
        <f>IF(AND(C9&gt;0,(C9+C23)&gt;0),0,IF(AND(C9&gt;0,(C9+C23)&lt;0),(C9+C23),IF(AND(C9&lt;0,C23&lt;0),C23,0)))</f>
        <v>-3456096.9014147222</v>
      </c>
      <c r="D31" s="14" t="s">
        <v>3</v>
      </c>
      <c r="E31" s="1"/>
    </row>
    <row r="32" spans="1:5" x14ac:dyDescent="0.25">
      <c r="A32" s="1"/>
      <c r="B32" s="66" t="s">
        <v>49</v>
      </c>
      <c r="C32" s="9">
        <v>2</v>
      </c>
      <c r="D32" s="14" t="s">
        <v>20</v>
      </c>
      <c r="E32" s="1"/>
    </row>
    <row r="33" spans="1:5" x14ac:dyDescent="0.25">
      <c r="A33" s="1"/>
      <c r="B33" s="67" t="s">
        <v>70</v>
      </c>
      <c r="C33" s="57">
        <f>C31/C32</f>
        <v>-1728048.4507073611</v>
      </c>
      <c r="D33" s="17" t="s">
        <v>3</v>
      </c>
      <c r="E33" s="1"/>
    </row>
    <row r="34" spans="1:5" x14ac:dyDescent="0.25">
      <c r="A34" s="1"/>
      <c r="B34" s="115"/>
      <c r="C34" s="116"/>
      <c r="D34" s="117"/>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xZLpgvLvIrIBYSmzHSYQxW4JLWlgcL+NUOQ5YE88Bjdwi3M9FNiZnUpvnteKsbGaMFW8bK7zGEtdP8cGvtBRSQ==" saltValue="67NemsE3Ra6YMHxZXHJ/l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5" t="s">
        <v>101</v>
      </c>
      <c r="C3" s="105"/>
      <c r="D3" s="105"/>
      <c r="E3" s="1"/>
    </row>
    <row r="4" spans="1:5" ht="15" customHeight="1" x14ac:dyDescent="0.25">
      <c r="A4" s="1"/>
      <c r="B4" s="105"/>
      <c r="C4" s="105"/>
      <c r="D4" s="105"/>
      <c r="E4" s="1"/>
    </row>
    <row r="5" spans="1:5" x14ac:dyDescent="0.25">
      <c r="A5" s="1"/>
      <c r="B5" s="105"/>
      <c r="C5" s="105"/>
      <c r="D5" s="105"/>
      <c r="E5" s="1"/>
    </row>
    <row r="6" spans="1:5" x14ac:dyDescent="0.25">
      <c r="A6" s="1"/>
      <c r="B6" s="1"/>
      <c r="C6" s="1"/>
      <c r="D6" s="1"/>
      <c r="E6" s="1"/>
    </row>
    <row r="7" spans="1:5" x14ac:dyDescent="0.25">
      <c r="A7" s="1"/>
      <c r="B7" s="1"/>
      <c r="C7" s="1"/>
      <c r="D7" s="1"/>
      <c r="E7" s="1"/>
    </row>
    <row r="8" spans="1:5" x14ac:dyDescent="0.25">
      <c r="A8" s="1"/>
      <c r="B8" s="107" t="s">
        <v>120</v>
      </c>
      <c r="C8" s="108"/>
      <c r="D8" s="109"/>
      <c r="E8" s="1"/>
    </row>
    <row r="9" spans="1:5" ht="15" customHeight="1" x14ac:dyDescent="0.25">
      <c r="A9" s="1"/>
      <c r="B9" s="121" t="s">
        <v>102</v>
      </c>
      <c r="C9" s="122"/>
      <c r="D9" s="123"/>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5"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9T7fUl1AiOnT1xlzskuNz//lJKGco669eNBjfg5PQxuv2ZhHjFjhIpxZYg/fNAaMgjaJPYg/xN94K0SOxmK1g==" saltValue="pRiGVv7+sOiVP6nAinT8U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170</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7" t="s">
        <v>171</v>
      </c>
      <c r="C8" s="108"/>
      <c r="D8" s="109"/>
      <c r="E8" s="1"/>
    </row>
    <row r="9" spans="1:5" ht="26.25" x14ac:dyDescent="0.25">
      <c r="A9" s="1"/>
      <c r="B9" s="78" t="s">
        <v>215</v>
      </c>
      <c r="C9" s="7"/>
      <c r="D9" s="8" t="s">
        <v>3</v>
      </c>
      <c r="E9" s="1"/>
    </row>
    <row r="10" spans="1:5" ht="14.25" customHeight="1" x14ac:dyDescent="0.25">
      <c r="A10" s="1"/>
      <c r="B10" s="65" t="s">
        <v>172</v>
      </c>
      <c r="C10" s="7"/>
      <c r="D10" s="8" t="s">
        <v>3</v>
      </c>
      <c r="E10" s="1"/>
    </row>
    <row r="11" spans="1:5" ht="14.25" customHeight="1" x14ac:dyDescent="0.25">
      <c r="A11" s="1"/>
      <c r="B11" s="81" t="s">
        <v>48</v>
      </c>
      <c r="C11" s="10">
        <f>C10-C9</f>
        <v>0</v>
      </c>
      <c r="D11" s="11" t="s">
        <v>3</v>
      </c>
      <c r="E11" s="1"/>
    </row>
    <row r="12" spans="1:5" ht="14.25" customHeight="1" x14ac:dyDescent="0.25">
      <c r="A12" s="1"/>
      <c r="B12" s="107" t="s">
        <v>217</v>
      </c>
      <c r="C12" s="108"/>
      <c r="D12" s="109"/>
      <c r="E12" s="1"/>
    </row>
    <row r="13" spans="1:5" ht="26.25" x14ac:dyDescent="0.25">
      <c r="A13" s="1"/>
      <c r="B13" s="78" t="s">
        <v>216</v>
      </c>
      <c r="C13" s="7"/>
      <c r="D13" s="8" t="s">
        <v>3</v>
      </c>
      <c r="E13" s="1"/>
    </row>
    <row r="14" spans="1:5" ht="14.25" customHeight="1" x14ac:dyDescent="0.25">
      <c r="A14" s="1"/>
      <c r="B14" s="65" t="s">
        <v>173</v>
      </c>
      <c r="C14" s="7"/>
      <c r="D14" s="8" t="s">
        <v>3</v>
      </c>
      <c r="E14" s="1"/>
    </row>
    <row r="15" spans="1:5" ht="14.25" customHeight="1" x14ac:dyDescent="0.25">
      <c r="A15" s="1"/>
      <c r="B15" s="81"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6v+XA9BY6xWXPClEeWYoeRhrw8WyFC4YEBcW0F2lVFGjdIkajB12nAbUfwTPElpQWxJvVWkHxRLyybKNYYUpPw==" saltValue="7lxWxgymBAw7iBvJvhqaaA=="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3" t="s">
        <v>113</v>
      </c>
      <c r="C3" s="103"/>
      <c r="D3" s="103"/>
      <c r="E3" s="103"/>
      <c r="F3" s="103"/>
      <c r="G3" s="103"/>
      <c r="H3" s="103"/>
      <c r="I3" s="103"/>
      <c r="J3" s="103"/>
      <c r="K3" s="103"/>
      <c r="L3" s="1"/>
    </row>
    <row r="4" spans="1:12" ht="15" customHeight="1" x14ac:dyDescent="0.25">
      <c r="A4" s="1"/>
      <c r="B4" s="103"/>
      <c r="C4" s="103"/>
      <c r="D4" s="103"/>
      <c r="E4" s="103"/>
      <c r="F4" s="103"/>
      <c r="G4" s="103"/>
      <c r="H4" s="103"/>
      <c r="I4" s="103"/>
      <c r="J4" s="103"/>
      <c r="K4" s="10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86</v>
      </c>
      <c r="C8" s="108"/>
      <c r="D8" s="108"/>
      <c r="E8" s="108"/>
      <c r="F8" s="108"/>
      <c r="G8" s="108"/>
      <c r="H8" s="108"/>
      <c r="I8" s="108"/>
      <c r="J8" s="108"/>
      <c r="K8" s="109"/>
      <c r="L8" s="1"/>
    </row>
    <row r="9" spans="1:12" ht="39.75" customHeight="1" x14ac:dyDescent="0.25">
      <c r="A9" s="1"/>
      <c r="B9" s="18" t="s">
        <v>0</v>
      </c>
      <c r="C9" s="18" t="s">
        <v>1</v>
      </c>
      <c r="D9" s="124" t="s">
        <v>96</v>
      </c>
      <c r="E9" s="125"/>
      <c r="F9" s="124" t="s">
        <v>2</v>
      </c>
      <c r="G9" s="125"/>
      <c r="H9" s="124" t="s">
        <v>95</v>
      </c>
      <c r="I9" s="125"/>
      <c r="J9" s="124" t="s">
        <v>26</v>
      </c>
      <c r="K9" s="125"/>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5" t="s">
        <v>219</v>
      </c>
      <c r="C11" s="76"/>
      <c r="D11" s="77"/>
      <c r="E11" s="77"/>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8Uik6fYekzxYKOCxdqASQiLytOcH+rSe7RyfQ/TFT06/+FIgym5VPEvZ7GpMqywsIiE2O1dLh+I/v6BoSwStQQ==" saltValue="2kKEboECADK0nT85lHqU9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114</v>
      </c>
      <c r="C3" s="103"/>
      <c r="D3" s="103"/>
      <c r="E3" s="103"/>
      <c r="F3" s="103"/>
      <c r="G3" s="1"/>
    </row>
    <row r="4" spans="1:7" ht="1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79" t="s">
        <v>17</v>
      </c>
      <c r="C9" s="81" t="s">
        <v>11</v>
      </c>
      <c r="D9" s="80"/>
      <c r="E9" s="81"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232</v>
      </c>
      <c r="C11" s="21">
        <v>839466</v>
      </c>
      <c r="D11" s="14" t="s">
        <v>3</v>
      </c>
      <c r="E11" s="9">
        <v>418292</v>
      </c>
      <c r="F11" s="14" t="s">
        <v>3</v>
      </c>
      <c r="G11" s="1"/>
    </row>
    <row r="12" spans="1:7" x14ac:dyDescent="0.25">
      <c r="A12" s="1"/>
      <c r="B12" s="24" t="s">
        <v>233</v>
      </c>
      <c r="C12" s="21">
        <v>283540</v>
      </c>
      <c r="D12" s="14" t="s">
        <v>3</v>
      </c>
      <c r="E12" s="9">
        <v>0</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1123006</v>
      </c>
      <c r="D19" s="13" t="s">
        <v>3</v>
      </c>
      <c r="E19" s="12">
        <f>SUM(E10:E18)</f>
        <v>418292</v>
      </c>
      <c r="F19" s="13" t="s">
        <v>3</v>
      </c>
      <c r="G19" s="1"/>
    </row>
    <row r="20" spans="1:7" x14ac:dyDescent="0.25">
      <c r="A20" s="1"/>
      <c r="B20" s="33" t="s">
        <v>175</v>
      </c>
      <c r="C20" s="12">
        <f>C19*(1+'Fane 15. Nøgletal'!C10)</f>
        <v>1197461.2978000001</v>
      </c>
      <c r="D20" s="13" t="s">
        <v>3</v>
      </c>
      <c r="E20" s="12">
        <f>E19*(1+'Fane 15. Nøgletal'!C10)</f>
        <v>446024.75959999999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Q9IRZGWEEs80TTe9dZP48Q7D287YODqploiv4SAh1yIYZvfdZ/Ro9VmZgAgysVwVWRcLBynl1st+TULFPbdgA==" saltValue="0InBiHYtUkMtTNo33BUuS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115</v>
      </c>
      <c r="C3" s="103"/>
      <c r="D3" s="103"/>
      <c r="E3" s="103"/>
      <c r="F3" s="103"/>
      <c r="G3" s="1"/>
    </row>
    <row r="4" spans="1:7" ht="1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176</v>
      </c>
      <c r="C8" s="108"/>
      <c r="D8" s="108"/>
      <c r="E8" s="108"/>
      <c r="F8" s="109"/>
      <c r="G8" s="1"/>
    </row>
    <row r="9" spans="1:7" x14ac:dyDescent="0.25">
      <c r="A9" s="1"/>
      <c r="B9" s="79" t="s">
        <v>17</v>
      </c>
      <c r="C9" s="81" t="s">
        <v>11</v>
      </c>
      <c r="D9" s="80"/>
      <c r="E9" s="81" t="s">
        <v>27</v>
      </c>
      <c r="F9" s="32"/>
      <c r="G9" s="1"/>
    </row>
    <row r="10" spans="1:7" x14ac:dyDescent="0.25">
      <c r="A10" s="1"/>
      <c r="B10" s="24" t="s">
        <v>233</v>
      </c>
      <c r="C10" s="21">
        <v>850621</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850621</v>
      </c>
      <c r="D13" s="13" t="s">
        <v>3</v>
      </c>
      <c r="E13" s="12">
        <f>SUM(E10:E12)</f>
        <v>0</v>
      </c>
      <c r="F13" s="13" t="s">
        <v>3</v>
      </c>
      <c r="G13" s="1"/>
    </row>
    <row r="14" spans="1:7" x14ac:dyDescent="0.25">
      <c r="A14" s="1"/>
      <c r="B14" s="33" t="s">
        <v>178</v>
      </c>
      <c r="C14" s="12">
        <f>C13*(1+'Fane 15. Nøgletal'!C10)^2</f>
        <v>967152.41082349</v>
      </c>
      <c r="D14" s="13" t="s">
        <v>3</v>
      </c>
      <c r="E14" s="12">
        <f>E13*(1+'Fane 15. Nøgletal'!C10)^2</f>
        <v>0</v>
      </c>
      <c r="F14" s="13" t="s">
        <v>3</v>
      </c>
      <c r="G14" s="1"/>
    </row>
    <row r="15" spans="1:7" x14ac:dyDescent="0.25">
      <c r="A15" s="1"/>
      <c r="B15" s="1"/>
      <c r="C15" s="1"/>
      <c r="D15" s="1"/>
      <c r="E15" s="1"/>
      <c r="F15" s="1"/>
      <c r="G15" s="1"/>
    </row>
    <row r="16" spans="1:7" x14ac:dyDescent="0.25">
      <c r="A16" s="1"/>
      <c r="B16" s="126"/>
      <c r="C16" s="126"/>
      <c r="D16" s="126"/>
      <c r="E16" s="126"/>
      <c r="F16" s="126"/>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6"/>
      <c r="C29" s="126"/>
      <c r="D29" s="126"/>
      <c r="E29" s="126"/>
      <c r="F29" s="126"/>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t0uKbhGX8mUfaQXNA/FJexixPpfV1pDhPsSqi11mHx54GtUahHahzwMjR/rxPK3Pn1KiK2i2OamwOf8xPHMYw==" saltValue="7qYvPsw2e0h1SBJQt+3I3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116</v>
      </c>
      <c r="C3" s="105"/>
      <c r="D3" s="105"/>
      <c r="E3" s="1"/>
    </row>
    <row r="4" spans="1:5" ht="15" customHeight="1" x14ac:dyDescent="0.25">
      <c r="A4" s="1"/>
      <c r="B4" s="105"/>
      <c r="C4" s="105"/>
      <c r="D4" s="105"/>
      <c r="E4" s="1"/>
    </row>
    <row r="5" spans="1:5" x14ac:dyDescent="0.25">
      <c r="A5" s="1"/>
      <c r="B5" s="105"/>
      <c r="C5" s="105"/>
      <c r="D5" s="105"/>
      <c r="E5" s="1"/>
    </row>
    <row r="6" spans="1:5" x14ac:dyDescent="0.25">
      <c r="A6" s="1"/>
      <c r="B6" s="1"/>
      <c r="C6" s="1"/>
      <c r="D6" s="1"/>
      <c r="E6" s="1"/>
    </row>
    <row r="7" spans="1:5" x14ac:dyDescent="0.25">
      <c r="A7" s="1"/>
      <c r="B7" s="1"/>
      <c r="C7" s="1"/>
      <c r="D7" s="1"/>
      <c r="E7" s="1"/>
    </row>
    <row r="8" spans="1:5" ht="14.25" customHeight="1" x14ac:dyDescent="0.25">
      <c r="A8" s="1"/>
      <c r="B8" s="107" t="s">
        <v>73</v>
      </c>
      <c r="C8" s="108"/>
      <c r="D8" s="109"/>
      <c r="E8" s="1"/>
    </row>
    <row r="9" spans="1:5" x14ac:dyDescent="0.25">
      <c r="A9" s="1"/>
      <c r="B9" s="68" t="s">
        <v>179</v>
      </c>
      <c r="C9" s="9"/>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5" t="s">
        <v>74</v>
      </c>
      <c r="C12" s="12">
        <f>SUM(C9:C11)*(1+'Fane 15. Nøgletal'!C9)^2</f>
        <v>0</v>
      </c>
      <c r="D12" s="13" t="s">
        <v>3</v>
      </c>
      <c r="E12" s="1"/>
    </row>
    <row r="13" spans="1:5" x14ac:dyDescent="0.25">
      <c r="A13" s="1"/>
      <c r="B13" s="1"/>
      <c r="C13" s="1"/>
      <c r="D13" s="1"/>
      <c r="E13" s="1"/>
    </row>
    <row r="14" spans="1:5" ht="15" customHeight="1" x14ac:dyDescent="0.25">
      <c r="A14" s="1"/>
      <c r="B14" s="107" t="s">
        <v>84</v>
      </c>
      <c r="C14" s="108"/>
      <c r="D14" s="109"/>
      <c r="E14" s="1"/>
    </row>
    <row r="15" spans="1:5" x14ac:dyDescent="0.25">
      <c r="A15" s="1"/>
      <c r="B15" s="68" t="s">
        <v>179</v>
      </c>
      <c r="C15" s="9"/>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5" t="s">
        <v>85</v>
      </c>
      <c r="C18" s="12">
        <f>SUM(C15:C17)*(1+'Fane 15. Nøgletal'!C10)^3</f>
        <v>0</v>
      </c>
      <c r="D18" s="13" t="s">
        <v>3</v>
      </c>
      <c r="E18" s="1"/>
    </row>
    <row r="19" spans="1:5" x14ac:dyDescent="0.25">
      <c r="A19" s="1"/>
      <c r="B19" s="1"/>
      <c r="C19" s="1"/>
      <c r="D19" s="1"/>
      <c r="E19" s="1"/>
    </row>
    <row r="20" spans="1:5" ht="15" customHeight="1" x14ac:dyDescent="0.25">
      <c r="A20" s="1"/>
      <c r="B20" s="107" t="s">
        <v>140</v>
      </c>
      <c r="C20" s="108"/>
      <c r="D20" s="109"/>
      <c r="E20" s="1"/>
    </row>
    <row r="21" spans="1:5" x14ac:dyDescent="0.25">
      <c r="A21" s="1"/>
      <c r="B21" s="68" t="s">
        <v>179</v>
      </c>
      <c r="C21" s="9"/>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5" t="s">
        <v>141</v>
      </c>
      <c r="C24" s="12">
        <f>SUM(C21:C23)*(1+'Fane 15. Nøgletal'!C10)^4</f>
        <v>0</v>
      </c>
      <c r="D24" s="13" t="s">
        <v>3</v>
      </c>
      <c r="E24" s="1"/>
    </row>
    <row r="25" spans="1:5" x14ac:dyDescent="0.25">
      <c r="A25" s="1"/>
      <c r="B25" s="1"/>
      <c r="C25" s="1"/>
      <c r="D25" s="1"/>
      <c r="E25" s="1"/>
    </row>
    <row r="26" spans="1:5" ht="15" customHeight="1" x14ac:dyDescent="0.25">
      <c r="A26" s="1"/>
      <c r="B26" s="107" t="s">
        <v>180</v>
      </c>
      <c r="C26" s="108"/>
      <c r="D26" s="109"/>
      <c r="E26" s="1"/>
    </row>
    <row r="27" spans="1:5" ht="14.25" customHeight="1" x14ac:dyDescent="0.25">
      <c r="A27" s="1"/>
      <c r="B27" s="68" t="s">
        <v>179</v>
      </c>
      <c r="C27" s="9"/>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5"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l6i0U4VrgfJ57j+O1+fP6t+EOC3v2qSrAgU9mhSGF5eyFlRuOMXzcEDIV63qpns4SvlixXOVXzmIWrZdnk5cig==" saltValue="vqkep4IFFe2YObgl8mmp+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117</v>
      </c>
      <c r="C3" s="105"/>
      <c r="D3" s="105"/>
      <c r="E3" s="105"/>
      <c r="F3" s="105"/>
      <c r="G3" s="1"/>
    </row>
    <row r="4" spans="1:7" ht="15" customHeight="1" x14ac:dyDescent="0.25">
      <c r="A4" s="1"/>
      <c r="B4" s="105"/>
      <c r="C4" s="105"/>
      <c r="D4" s="105"/>
      <c r="E4" s="105"/>
      <c r="F4" s="105"/>
      <c r="G4" s="1"/>
    </row>
    <row r="5" spans="1:7" x14ac:dyDescent="0.25">
      <c r="A5" s="1"/>
      <c r="B5" s="105"/>
      <c r="C5" s="105"/>
      <c r="D5" s="105"/>
      <c r="E5" s="105"/>
      <c r="F5" s="105"/>
      <c r="G5" s="1"/>
    </row>
    <row r="6" spans="1:7" x14ac:dyDescent="0.25">
      <c r="A6" s="1"/>
      <c r="B6" s="1"/>
      <c r="C6" s="1"/>
      <c r="D6" s="1"/>
      <c r="E6" s="1"/>
      <c r="F6" s="1"/>
      <c r="G6" s="1"/>
    </row>
    <row r="7" spans="1:7" x14ac:dyDescent="0.25">
      <c r="A7" s="1"/>
      <c r="B7" s="1"/>
      <c r="C7" s="1"/>
      <c r="D7" s="1"/>
      <c r="E7" s="1"/>
      <c r="F7" s="1"/>
      <c r="G7" s="1"/>
    </row>
    <row r="8" spans="1:7" x14ac:dyDescent="0.25">
      <c r="A8" s="1"/>
      <c r="B8" s="107" t="s">
        <v>66</v>
      </c>
      <c r="C8" s="108"/>
      <c r="D8" s="108"/>
      <c r="E8" s="108"/>
      <c r="F8" s="109"/>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4ktw8W32tYjatrtMTym4atRJI1hPqxEow2iant6lyRKNEgb23jv2olSK9WLGkUtnjUeG4rJO67Cg0lKHJfzgMQ==" saltValue="xS9/LksKpCmmwfXQ5XtPN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118</v>
      </c>
      <c r="C3" s="105"/>
      <c r="D3" s="105"/>
      <c r="E3" s="105"/>
      <c r="F3" s="105"/>
      <c r="G3" s="1"/>
    </row>
    <row r="4" spans="1:7" ht="15" customHeight="1" x14ac:dyDescent="0.25">
      <c r="A4" s="1"/>
      <c r="B4" s="105"/>
      <c r="C4" s="105"/>
      <c r="D4" s="105"/>
      <c r="E4" s="105"/>
      <c r="F4" s="105"/>
      <c r="G4" s="1"/>
    </row>
    <row r="5" spans="1:7" x14ac:dyDescent="0.25">
      <c r="A5" s="1"/>
      <c r="B5" s="105"/>
      <c r="C5" s="105"/>
      <c r="D5" s="105"/>
      <c r="E5" s="105"/>
      <c r="F5" s="105"/>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7" t="s">
        <v>183</v>
      </c>
      <c r="C8" s="108"/>
      <c r="D8" s="108"/>
      <c r="E8" s="108"/>
      <c r="F8" s="109"/>
      <c r="G8" s="1"/>
    </row>
    <row r="9" spans="1:7" x14ac:dyDescent="0.25">
      <c r="A9" s="1"/>
      <c r="B9" s="31" t="s">
        <v>18</v>
      </c>
      <c r="C9" s="127" t="s">
        <v>11</v>
      </c>
      <c r="D9" s="128"/>
      <c r="E9" s="127" t="s">
        <v>27</v>
      </c>
      <c r="F9" s="128"/>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6"/>
      <c r="C14" s="126"/>
      <c r="D14" s="126"/>
      <c r="E14" s="126"/>
      <c r="F14" s="126"/>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6"/>
      <c r="C21" s="126"/>
      <c r="D21" s="126"/>
      <c r="E21" s="126"/>
      <c r="F21" s="126"/>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6"/>
      <c r="C27" s="126"/>
      <c r="D27" s="126"/>
      <c r="E27" s="126"/>
      <c r="F27" s="126"/>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CFAOLo3P/WkUGvxaJrgJJyJQiz+wETBDQsWXm5IAgI0dIwqC9P11F0P5a+tYRS4N+MwSWLFiuXfA8a90iTGXg==" saltValue="v8bGcwSOq3yu/zB4ulUf+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155</v>
      </c>
      <c r="C3" s="103"/>
      <c r="D3" s="103"/>
      <c r="E3" s="1"/>
    </row>
    <row r="4" spans="1:5" ht="15" customHeight="1" x14ac:dyDescent="0.25">
      <c r="A4" s="1"/>
      <c r="B4" s="103"/>
      <c r="C4" s="103"/>
      <c r="D4" s="10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76515239.109017268</v>
      </c>
      <c r="D9" s="8" t="s">
        <v>3</v>
      </c>
      <c r="E9" s="1"/>
    </row>
    <row r="10" spans="1:5" ht="17.25" customHeight="1" x14ac:dyDescent="0.25">
      <c r="A10" s="1"/>
      <c r="B10" s="64" t="s">
        <v>35</v>
      </c>
      <c r="C10" s="7">
        <f>'Fane 11.1. Varige tillæg'!C20</f>
        <v>1197461.2978000001</v>
      </c>
      <c r="D10" s="8" t="s">
        <v>3</v>
      </c>
      <c r="E10" s="1"/>
    </row>
    <row r="11" spans="1:5" ht="17.25" customHeight="1" x14ac:dyDescent="0.25">
      <c r="A11" s="1"/>
      <c r="B11" s="64" t="s">
        <v>36</v>
      </c>
      <c r="C11" s="9">
        <f>'Fane 11.1. Varige tillæg'!E20</f>
        <v>446024.75959999999</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6291394.445614215</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-572923.90429150045</v>
      </c>
      <c r="D18" s="8" t="s">
        <v>3</v>
      </c>
      <c r="E18" s="1"/>
    </row>
    <row r="19" spans="1:5" ht="17.25" customHeight="1" x14ac:dyDescent="0.25">
      <c r="A19" s="1"/>
      <c r="B19" s="64" t="s">
        <v>23</v>
      </c>
      <c r="C19" s="38">
        <f>-'Fane 4.2. Gen. krav - anlæg'!C17</f>
        <v>0</v>
      </c>
      <c r="D19" s="8" t="s">
        <v>3</v>
      </c>
      <c r="E19" s="43"/>
    </row>
    <row r="20" spans="1:5" ht="17.25" customHeight="1" x14ac:dyDescent="0.25">
      <c r="A20" s="1"/>
      <c r="B20" s="81" t="s">
        <v>21</v>
      </c>
      <c r="C20" s="10">
        <f>SUM(C9:C19)</f>
        <v>83877195.707739994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2380356.1898038099</v>
      </c>
      <c r="D22" s="11" t="s">
        <v>3</v>
      </c>
      <c r="E22" s="1"/>
    </row>
    <row r="23" spans="1:5" ht="15" customHeight="1" x14ac:dyDescent="0.25">
      <c r="A23" s="1"/>
      <c r="B23" s="33" t="s">
        <v>42</v>
      </c>
      <c r="C23" s="28"/>
      <c r="D23" s="19"/>
      <c r="E23" s="1"/>
    </row>
    <row r="24" spans="1:5" ht="15" customHeight="1" x14ac:dyDescent="0.25">
      <c r="A24" s="1"/>
      <c r="B24" s="81"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967152.41082349</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-19343.048216469801</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947809.36260702019</v>
      </c>
      <c r="D30" s="11" t="s">
        <v>3</v>
      </c>
      <c r="E30" s="1"/>
    </row>
    <row r="31" spans="1:5" x14ac:dyDescent="0.25">
      <c r="A31" s="1"/>
      <c r="B31" s="33" t="s">
        <v>69</v>
      </c>
      <c r="C31" s="28"/>
      <c r="D31" s="19"/>
      <c r="E31" s="1"/>
    </row>
    <row r="32" spans="1:5" x14ac:dyDescent="0.25">
      <c r="A32" s="1"/>
      <c r="B32" s="31" t="s">
        <v>79</v>
      </c>
      <c r="C32" s="62">
        <f>'Fane 7. Kontrol af ØR2023'!C27</f>
        <v>-2195511.5750081912</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85009849.685142636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pwS3GaTCeVY9horKMd+OTzZXSekK4kWrqLuSU5OICojo6al7k0eK1xUHQ/6NrdtifTm+2aww/M9BvpnawVlY+Q==" saltValue="K1Y7OoEEcTDww6BD/4dNO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119</v>
      </c>
      <c r="C3" s="105"/>
      <c r="D3" s="1"/>
    </row>
    <row r="4" spans="1:4" ht="15" customHeight="1" x14ac:dyDescent="0.25">
      <c r="A4" s="1"/>
      <c r="B4" s="105"/>
      <c r="C4" s="105"/>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4B3jRdxY6MMcoAJXO9iFBnkKmWFwwO42932y8Hx1uqcZimHSqgi7usOjDb5/PKvG9sPoLpTA8B0jlaSToHGTCQ==" saltValue="VbG7S1u09FJbZPDbGcDNt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156</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83877195.707739994</v>
      </c>
      <c r="D9" s="8" t="s">
        <v>3</v>
      </c>
      <c r="E9" s="1"/>
    </row>
    <row r="10" spans="1:5" ht="15" customHeight="1" x14ac:dyDescent="0.25">
      <c r="A10" s="1"/>
      <c r="B10" s="26" t="s">
        <v>19</v>
      </c>
      <c r="C10" s="7">
        <f>C9*'Fane 15. Nøgletal'!C10</f>
        <v>5561058.0754231615</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-598690.58396310639</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88839563.199200049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2538173.8051878023</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-1728048.4507073611</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89649688.553680494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rOiUUT53Pbe/kk5BI/FngHpu+QYbest6BaTRh7b2LZSWL8HAKb5mxFxnTg7YlmkXt3vmtQPyIAdwYHAuC70hA==" saltValue="ochGK21sW0wtJMd+Tm/oo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157</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88839563.199200049</v>
      </c>
      <c r="D9" s="8" t="s">
        <v>3</v>
      </c>
      <c r="E9" s="1"/>
    </row>
    <row r="10" spans="1:5" ht="15" customHeight="1" x14ac:dyDescent="0.25">
      <c r="A10" s="1"/>
      <c r="B10" s="26" t="s">
        <v>19</v>
      </c>
      <c r="C10" s="7">
        <f>SUM(C9:C9)*'Fane 15. Nøgletal'!C10</f>
        <v>5890063.0401069634</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-625616.09428626311</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94104010.145020753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2706454.7284717537</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-1728048.4507073611</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95082416.422785148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hZuLxdUhiXy8ajSa2415sic0K5QwXrHNp7DxuOCsSo7gdrjjDYhm46czGWQpPwb8BU3fjHpK5UEvrT6zU682A==" saltValue="WPiisO61IXAHnDnnwr1sS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158</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94104010.145020753</v>
      </c>
      <c r="D9" s="8" t="s">
        <v>3</v>
      </c>
      <c r="E9" s="1"/>
    </row>
    <row r="10" spans="1:5" ht="15" customHeight="1" x14ac:dyDescent="0.25">
      <c r="A10" s="1"/>
      <c r="B10" s="26" t="s">
        <v>19</v>
      </c>
      <c r="C10" s="7">
        <f>SUM(C9:C9)*'Fane 15. Nøgletal'!C10</f>
        <v>6239095.8726148754</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-653752.55251069344</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99689353.465124935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2885892.6769694313</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102575246.14209437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sZM9TrAIRVKH5BmnuOJq/nI/lwFBUw8lsh5PN8izcuI4d5NyqvD2lvLk9YTBJgmWNsab8LBBiCPV9793+zuhg==" saltValue="rW9vuUMop0AR8XfOPNWFx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5" t="s">
        <v>161</v>
      </c>
      <c r="C3" s="105"/>
      <c r="D3" s="105"/>
      <c r="E3" s="1"/>
    </row>
    <row r="4" spans="1:5" ht="15" customHeight="1" x14ac:dyDescent="0.25">
      <c r="A4" s="1"/>
      <c r="B4" s="105"/>
      <c r="C4" s="105"/>
      <c r="D4" s="105"/>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68976508.753178045</v>
      </c>
      <c r="D9" s="8" t="s">
        <v>3</v>
      </c>
      <c r="E9" s="1"/>
    </row>
    <row r="10" spans="1:5" ht="15" customHeight="1" x14ac:dyDescent="0.25">
      <c r="A10" s="1"/>
      <c r="B10" s="64" t="s">
        <v>35</v>
      </c>
      <c r="C10" s="7">
        <v>822159.15599999996</v>
      </c>
      <c r="D10" s="8" t="s">
        <v>3</v>
      </c>
      <c r="E10" s="1"/>
    </row>
    <row r="11" spans="1:5" ht="15" customHeight="1" x14ac:dyDescent="0.25">
      <c r="A11" s="1"/>
      <c r="B11" s="64" t="s">
        <v>36</v>
      </c>
      <c r="C11" s="9">
        <v>1474499.7736</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5758871.9487684658</v>
      </c>
      <c r="D16" s="8" t="s">
        <v>3</v>
      </c>
      <c r="E16" s="1"/>
    </row>
    <row r="17" spans="1:5" ht="15" customHeight="1" x14ac:dyDescent="0.25">
      <c r="A17" s="1"/>
      <c r="B17" s="64" t="s">
        <v>10</v>
      </c>
      <c r="C17" s="38">
        <v>0</v>
      </c>
      <c r="D17" s="8" t="s">
        <v>3</v>
      </c>
      <c r="E17" s="1"/>
    </row>
    <row r="18" spans="1:5" ht="15" customHeight="1" x14ac:dyDescent="0.25">
      <c r="A18" s="1"/>
      <c r="B18" s="64" t="s">
        <v>22</v>
      </c>
      <c r="C18" s="38">
        <v>-516800.52252924663</v>
      </c>
      <c r="D18" s="8" t="s">
        <v>3</v>
      </c>
      <c r="E18" s="1"/>
    </row>
    <row r="19" spans="1:5" ht="15" customHeight="1" x14ac:dyDescent="0.25">
      <c r="A19" s="1"/>
      <c r="B19" s="64" t="s">
        <v>23</v>
      </c>
      <c r="C19" s="38">
        <v>0</v>
      </c>
      <c r="D19" s="8" t="s">
        <v>3</v>
      </c>
      <c r="E19" s="43"/>
    </row>
    <row r="20" spans="1:5" ht="15" customHeight="1" x14ac:dyDescent="0.25">
      <c r="A20" s="1"/>
      <c r="B20" s="81" t="s">
        <v>21</v>
      </c>
      <c r="C20" s="10">
        <v>76515239.109017268</v>
      </c>
      <c r="D20" s="11" t="s">
        <v>3</v>
      </c>
      <c r="E20" s="1"/>
    </row>
    <row r="21" spans="1:5" ht="15" customHeight="1" x14ac:dyDescent="0.25">
      <c r="A21" s="1"/>
      <c r="B21" s="33" t="s">
        <v>12</v>
      </c>
      <c r="C21" s="28"/>
      <c r="D21" s="19"/>
      <c r="E21" s="1"/>
    </row>
    <row r="22" spans="1:5" ht="15" customHeight="1" x14ac:dyDescent="0.25">
      <c r="A22" s="1"/>
      <c r="B22" s="31" t="s">
        <v>12</v>
      </c>
      <c r="C22" s="10">
        <v>2048028.5468518399</v>
      </c>
      <c r="D22" s="11" t="s">
        <v>3</v>
      </c>
      <c r="E22" s="1"/>
    </row>
    <row r="23" spans="1:5" ht="15" customHeight="1" x14ac:dyDescent="0.25">
      <c r="A23" s="1"/>
      <c r="B23" s="33" t="s">
        <v>42</v>
      </c>
      <c r="C23" s="28"/>
      <c r="D23" s="19"/>
      <c r="E23" s="1"/>
    </row>
    <row r="24" spans="1:5" ht="15" customHeight="1" x14ac:dyDescent="0.25">
      <c r="A24" s="1"/>
      <c r="B24" s="81" t="s">
        <v>42</v>
      </c>
      <c r="C24" s="10">
        <v>0</v>
      </c>
      <c r="D24" s="11" t="s">
        <v>3</v>
      </c>
      <c r="E24" s="1"/>
    </row>
    <row r="25" spans="1:5" x14ac:dyDescent="0.25">
      <c r="A25" s="1"/>
      <c r="B25" s="41" t="s">
        <v>41</v>
      </c>
      <c r="C25" s="39"/>
      <c r="D25" s="40"/>
      <c r="E25" s="1"/>
    </row>
    <row r="26" spans="1:5" ht="15" customHeight="1" x14ac:dyDescent="0.25">
      <c r="A26" s="1"/>
      <c r="B26" s="64" t="s">
        <v>89</v>
      </c>
      <c r="C26" s="38">
        <v>0</v>
      </c>
      <c r="D26" s="8" t="s">
        <v>3</v>
      </c>
      <c r="E26" s="1"/>
    </row>
    <row r="27" spans="1:5" ht="15" customHeight="1" x14ac:dyDescent="0.25">
      <c r="A27" s="1"/>
      <c r="B27" s="64" t="s">
        <v>38</v>
      </c>
      <c r="C27" s="38">
        <v>0</v>
      </c>
      <c r="D27" s="8" t="s">
        <v>3</v>
      </c>
      <c r="E27" s="1"/>
    </row>
    <row r="28" spans="1:5" ht="15" customHeight="1" x14ac:dyDescent="0.25">
      <c r="A28" s="1"/>
      <c r="B28" s="64" t="s">
        <v>92</v>
      </c>
      <c r="C28" s="38">
        <v>0</v>
      </c>
      <c r="D28" s="8" t="s">
        <v>3</v>
      </c>
      <c r="E28" s="1"/>
    </row>
    <row r="29" spans="1:5" ht="15" customHeight="1" x14ac:dyDescent="0.25">
      <c r="A29" s="1"/>
      <c r="B29" s="64" t="s">
        <v>93</v>
      </c>
      <c r="C29" s="38">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-2195511.5</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76367756.155869111</v>
      </c>
      <c r="D37" s="30" t="s">
        <v>3</v>
      </c>
      <c r="E37" s="1"/>
    </row>
    <row r="38" spans="1:5" ht="30" customHeight="1" x14ac:dyDescent="0.25">
      <c r="A38" s="1"/>
      <c r="B38" s="106" t="s">
        <v>223</v>
      </c>
      <c r="C38" s="106"/>
      <c r="D38" s="106"/>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0ovABniGrNTrv/zKx4VFn6PVFuWLswXMLCUxQoFpMbP0q5SSEwZtsRXu3kfjLsD50iyGl23leSm7zDMaVv+YdA==" saltValue="i07c6XqJrQVK0zHSh/tyr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5" t="s">
        <v>56</v>
      </c>
      <c r="C3" s="105"/>
      <c r="D3" s="105"/>
      <c r="E3" s="1"/>
    </row>
    <row r="4" spans="1:5" ht="15" customHeight="1" x14ac:dyDescent="0.25">
      <c r="A4" s="1"/>
      <c r="B4" s="105"/>
      <c r="C4" s="105"/>
      <c r="D4" s="105"/>
      <c r="E4" s="1"/>
    </row>
    <row r="5" spans="1:5" ht="15" customHeight="1" x14ac:dyDescent="0.25">
      <c r="A5" s="1"/>
      <c r="B5" s="105"/>
      <c r="C5" s="105"/>
      <c r="D5" s="105"/>
      <c r="E5" s="1"/>
    </row>
    <row r="6" spans="1:5" ht="15" customHeight="1" x14ac:dyDescent="0.25">
      <c r="A6" s="1"/>
      <c r="B6" s="74"/>
      <c r="C6" s="74"/>
      <c r="D6" s="74"/>
      <c r="E6" s="1"/>
    </row>
    <row r="7" spans="1:5" x14ac:dyDescent="0.25">
      <c r="A7" s="1"/>
      <c r="B7" s="1"/>
      <c r="C7" s="1"/>
      <c r="D7" s="1"/>
      <c r="E7" s="1"/>
    </row>
    <row r="8" spans="1:5" x14ac:dyDescent="0.25">
      <c r="A8" s="1"/>
      <c r="B8" s="107" t="s">
        <v>123</v>
      </c>
      <c r="C8" s="108"/>
      <c r="D8" s="109"/>
      <c r="E8" s="1"/>
    </row>
    <row r="9" spans="1:5" x14ac:dyDescent="0.25">
      <c r="A9" s="1"/>
      <c r="B9" s="65" t="s">
        <v>88</v>
      </c>
      <c r="C9" s="23">
        <v>24951436.510657538</v>
      </c>
      <c r="D9" s="14" t="s">
        <v>3</v>
      </c>
      <c r="E9" s="1"/>
    </row>
    <row r="10" spans="1:5" x14ac:dyDescent="0.25">
      <c r="A10" s="1"/>
      <c r="B10" s="65" t="s">
        <v>125</v>
      </c>
      <c r="C10" s="23">
        <f>('Fane 3. Omkostninger i ØR2024'!C10+'Fane 3. Omkostninger i ØR2024'!C12+'Fane 3. Omkostninger i ØR2024'!C14)*(1+'Fane 15. Nøgletal'!C9)</f>
        <v>888589.61580479995</v>
      </c>
      <c r="D10" s="14" t="s">
        <v>3</v>
      </c>
      <c r="E10" s="1"/>
    </row>
    <row r="11" spans="1:5" x14ac:dyDescent="0.25">
      <c r="A11" s="1"/>
      <c r="B11" s="65" t="s">
        <v>131</v>
      </c>
      <c r="C11" s="23">
        <f>C9*'Fane 15. Nøgletal'!C21+C10*'Fane 15. Nøgletal'!C21</f>
        <v>516800.52252924681</v>
      </c>
      <c r="D11" s="14" t="s">
        <v>3</v>
      </c>
      <c r="E11" s="1"/>
    </row>
    <row r="12" spans="1:5" x14ac:dyDescent="0.25">
      <c r="A12" s="1"/>
      <c r="B12" s="33"/>
      <c r="C12" s="28"/>
      <c r="D12" s="19"/>
      <c r="E12" s="1"/>
    </row>
    <row r="13" spans="1:5" x14ac:dyDescent="0.25">
      <c r="A13" s="1"/>
      <c r="B13" s="1"/>
      <c r="C13" s="1"/>
      <c r="D13" s="1"/>
      <c r="E13" s="1"/>
    </row>
    <row r="14" spans="1:5" x14ac:dyDescent="0.25">
      <c r="A14" s="1"/>
      <c r="B14" s="107" t="s">
        <v>124</v>
      </c>
      <c r="C14" s="108"/>
      <c r="D14" s="109"/>
      <c r="E14" s="1"/>
    </row>
    <row r="15" spans="1:5" x14ac:dyDescent="0.25">
      <c r="A15" s="1"/>
      <c r="B15" s="65" t="s">
        <v>133</v>
      </c>
      <c r="C15" s="23">
        <f>(C9+C10-C11)*(1+'Fane 15. Nøgletal'!C9)</f>
        <v>27369342.23273088</v>
      </c>
      <c r="D15" s="14" t="s">
        <v>3</v>
      </c>
      <c r="E15" s="1"/>
    </row>
    <row r="16" spans="1:5" x14ac:dyDescent="0.25">
      <c r="A16" s="1"/>
      <c r="B16" s="65" t="s">
        <v>184</v>
      </c>
      <c r="C16" s="23">
        <f>('Fane 2.1. Økonomisk ramme 2025'!C10+'Fane 2.1. Økonomisk ramme 2025'!C12+'Fane 2.1. Økonomisk ramme 2025'!C14)*(1+'Fane 15. Nøgletal'!C10)</f>
        <v>1276852.98184414</v>
      </c>
      <c r="D16" s="14" t="s">
        <v>3</v>
      </c>
      <c r="E16" s="1"/>
    </row>
    <row r="17" spans="1:5" x14ac:dyDescent="0.25">
      <c r="A17" s="1"/>
      <c r="B17" s="65" t="s">
        <v>132</v>
      </c>
      <c r="C17" s="23">
        <f>C15*'Fane 15. Nøgletal'!C21+C16*'Fane 15. Nøgletal'!C21</f>
        <v>572923.90429150045</v>
      </c>
      <c r="D17" s="14" t="s">
        <v>3</v>
      </c>
      <c r="E17" s="1"/>
    </row>
    <row r="18" spans="1:5" x14ac:dyDescent="0.25">
      <c r="A18" s="1"/>
      <c r="B18" s="33"/>
      <c r="C18" s="28"/>
      <c r="D18" s="19"/>
      <c r="E18" s="1"/>
    </row>
    <row r="19" spans="1:5" x14ac:dyDescent="0.25">
      <c r="A19" s="1"/>
      <c r="B19" s="1"/>
      <c r="C19" s="63"/>
      <c r="D19" s="1"/>
      <c r="E19" s="1"/>
    </row>
    <row r="20" spans="1:5" x14ac:dyDescent="0.25">
      <c r="A20" s="1"/>
      <c r="B20" s="107" t="s">
        <v>145</v>
      </c>
      <c r="C20" s="108"/>
      <c r="D20" s="109"/>
      <c r="E20" s="1"/>
    </row>
    <row r="21" spans="1:5" x14ac:dyDescent="0.25">
      <c r="A21" s="1"/>
      <c r="B21" s="65" t="s">
        <v>189</v>
      </c>
      <c r="C21" s="23">
        <f>(C15+C16-C17)*(1+'Fane 15. Nøgletal'!C10)</f>
        <v>29934529.198155317</v>
      </c>
      <c r="D21" s="14" t="s">
        <v>3</v>
      </c>
      <c r="E21" s="1"/>
    </row>
    <row r="22" spans="1:5" x14ac:dyDescent="0.25">
      <c r="A22" s="1"/>
      <c r="B22" s="65" t="s">
        <v>196</v>
      </c>
      <c r="C22" s="23">
        <f>C21*'Fane 15. Nøgletal'!C21</f>
        <v>598690.58396310639</v>
      </c>
      <c r="D22" s="14" t="s">
        <v>3</v>
      </c>
      <c r="E22" s="1"/>
    </row>
    <row r="23" spans="1:5" x14ac:dyDescent="0.25">
      <c r="A23" s="1"/>
      <c r="B23" s="33"/>
      <c r="C23" s="28"/>
      <c r="D23" s="19"/>
      <c r="E23" s="1"/>
    </row>
    <row r="24" spans="1:5" x14ac:dyDescent="0.25">
      <c r="A24" s="1"/>
      <c r="B24" s="1"/>
      <c r="C24" s="1"/>
      <c r="D24" s="1"/>
      <c r="E24" s="1"/>
    </row>
    <row r="25" spans="1:5" x14ac:dyDescent="0.25">
      <c r="A25" s="1"/>
      <c r="B25" s="107" t="s">
        <v>187</v>
      </c>
      <c r="C25" s="108"/>
      <c r="D25" s="109"/>
      <c r="E25" s="1"/>
    </row>
    <row r="26" spans="1:5" x14ac:dyDescent="0.25">
      <c r="A26" s="1"/>
      <c r="B26" s="65" t="s">
        <v>190</v>
      </c>
      <c r="C26" s="23">
        <f>(C21-C22)*(1+'Fane 15. Nøgletal'!C10)</f>
        <v>31280804.714313153</v>
      </c>
      <c r="D26" s="14" t="s">
        <v>3</v>
      </c>
      <c r="E26" s="1"/>
    </row>
    <row r="27" spans="1:5" x14ac:dyDescent="0.25">
      <c r="A27" s="1"/>
      <c r="B27" s="65" t="s">
        <v>194</v>
      </c>
      <c r="C27" s="23">
        <f>C26*'Fane 15. Nøgletal'!C21</f>
        <v>625616.09428626311</v>
      </c>
      <c r="D27" s="14" t="s">
        <v>3</v>
      </c>
      <c r="E27" s="1"/>
    </row>
    <row r="28" spans="1:5" x14ac:dyDescent="0.25">
      <c r="A28" s="1"/>
      <c r="B28" s="33"/>
      <c r="C28" s="28"/>
      <c r="D28" s="19"/>
      <c r="E28" s="1"/>
    </row>
    <row r="29" spans="1:5" x14ac:dyDescent="0.25">
      <c r="A29" s="1"/>
      <c r="B29" s="1"/>
      <c r="C29" s="1"/>
      <c r="D29" s="1"/>
      <c r="E29" s="1"/>
    </row>
    <row r="30" spans="1:5" x14ac:dyDescent="0.25">
      <c r="A30" s="1"/>
      <c r="B30" s="107" t="s">
        <v>188</v>
      </c>
      <c r="C30" s="108"/>
      <c r="D30" s="109"/>
      <c r="E30" s="1"/>
    </row>
    <row r="31" spans="1:5" x14ac:dyDescent="0.25">
      <c r="A31" s="1"/>
      <c r="B31" s="65" t="s">
        <v>191</v>
      </c>
      <c r="C31" s="23">
        <f>(C26-C27)*(1+'Fane 15. Nøgletal'!C10)</f>
        <v>32687627.625534672</v>
      </c>
      <c r="D31" s="14" t="s">
        <v>3</v>
      </c>
      <c r="E31" s="1"/>
    </row>
    <row r="32" spans="1:5" x14ac:dyDescent="0.25">
      <c r="A32" s="1"/>
      <c r="B32" s="65" t="s">
        <v>195</v>
      </c>
      <c r="C32" s="23">
        <f>C31*'Fane 15. Nøgletal'!C21</f>
        <v>653752.55251069344</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NqslgbuCcN4Kxri/s6bup5xhazvRu4TBuOmEPYVyhah/Rb8doJwbPQvB/PRHpc8L+m5EIfSuL9Hv4NtEPIbpQ==" saltValue="up1HHCEmEmK8Hcq71Fk4N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0" t="s">
        <v>57</v>
      </c>
      <c r="C3" s="110"/>
      <c r="D3" s="110"/>
      <c r="E3" s="1"/>
    </row>
    <row r="4" spans="1:5" ht="15" customHeight="1" x14ac:dyDescent="0.25">
      <c r="A4" s="1"/>
      <c r="B4" s="110"/>
      <c r="C4" s="110"/>
      <c r="D4" s="110"/>
      <c r="E4" s="1"/>
    </row>
    <row r="5" spans="1:5" ht="15" customHeight="1" x14ac:dyDescent="0.25">
      <c r="A5" s="1"/>
      <c r="B5" s="110"/>
      <c r="C5" s="110"/>
      <c r="D5" s="110"/>
      <c r="E5" s="1"/>
    </row>
    <row r="6" spans="1:5" ht="15" customHeight="1" x14ac:dyDescent="0.35">
      <c r="A6" s="1"/>
      <c r="B6" s="69"/>
      <c r="C6" s="69"/>
      <c r="D6" s="69"/>
      <c r="E6" s="1"/>
    </row>
    <row r="7" spans="1:5" x14ac:dyDescent="0.25">
      <c r="A7" s="1"/>
      <c r="B7" s="1"/>
      <c r="C7" s="1"/>
      <c r="D7" s="1"/>
      <c r="E7" s="1"/>
    </row>
    <row r="8" spans="1:5" x14ac:dyDescent="0.25">
      <c r="A8" s="1"/>
      <c r="B8" s="107" t="s">
        <v>147</v>
      </c>
      <c r="C8" s="108"/>
      <c r="D8" s="109"/>
      <c r="E8" s="1"/>
    </row>
    <row r="9" spans="1:5" x14ac:dyDescent="0.25">
      <c r="A9" s="1"/>
      <c r="B9" s="65" t="s">
        <v>134</v>
      </c>
      <c r="C9" s="23">
        <v>55981991.897862226</v>
      </c>
      <c r="D9" s="14" t="s">
        <v>3</v>
      </c>
      <c r="E9" s="1"/>
    </row>
    <row r="10" spans="1:5" x14ac:dyDescent="0.25">
      <c r="A10" s="1"/>
      <c r="B10" s="65" t="s">
        <v>126</v>
      </c>
      <c r="C10" s="23">
        <f>('Fane 3. Omkostninger i ØR2024'!C11+'Fane 3. Omkostninger i ØR2024'!C13+'Fane 3. Omkostninger i ØR2024'!C15)*(1+'Fane 15. Nøgletal'!C9)</f>
        <v>1593639.3553068799</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7" t="s">
        <v>146</v>
      </c>
      <c r="C14" s="108"/>
      <c r="D14" s="109"/>
      <c r="E14" s="1"/>
    </row>
    <row r="15" spans="1:5" x14ac:dyDescent="0.25">
      <c r="A15" s="1"/>
      <c r="B15" s="65" t="s">
        <v>136</v>
      </c>
      <c r="C15" s="23">
        <f>(C9+C10-C11)*(1+'Fane 15. Nøgletal'!C9)</f>
        <v>62227742.258425169</v>
      </c>
      <c r="D15" s="14" t="s">
        <v>3</v>
      </c>
      <c r="E15" s="1"/>
    </row>
    <row r="16" spans="1:5" x14ac:dyDescent="0.25">
      <c r="A16" s="1"/>
      <c r="B16" s="65" t="s">
        <v>185</v>
      </c>
      <c r="C16" s="23">
        <f>('Fane 2.1. Økonomisk ramme 2025'!C11+'Fane 2.1. Økonomisk ramme 2025'!C13+'Fane 2.1. Økonomisk ramme 2025'!C15)*(1+'Fane 15. Nøgletal'!C10)</f>
        <v>475596.20116147998</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7" t="s">
        <v>82</v>
      </c>
      <c r="C20" s="108"/>
      <c r="D20" s="109"/>
      <c r="E20" s="1"/>
    </row>
    <row r="21" spans="1:5" x14ac:dyDescent="0.25">
      <c r="A21" s="1"/>
      <c r="B21" s="65" t="s">
        <v>192</v>
      </c>
      <c r="C21" s="23">
        <f>(C15+C16-C17)*(1+'Fane 15. Nøgletal'!C10)</f>
        <v>66860569.799457245</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7" t="s">
        <v>138</v>
      </c>
      <c r="C25" s="108"/>
      <c r="D25" s="109"/>
      <c r="E25" s="1"/>
    </row>
    <row r="26" spans="1:5" x14ac:dyDescent="0.25">
      <c r="A26" s="1"/>
      <c r="B26" s="65" t="s">
        <v>193</v>
      </c>
      <c r="C26" s="23">
        <f>(C21-C22)*(1+'Fane 15. Nøgletal'!C10)</f>
        <v>71293425.577161267</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7" t="s">
        <v>163</v>
      </c>
      <c r="C30" s="108"/>
      <c r="D30" s="109"/>
      <c r="E30" s="1"/>
    </row>
    <row r="31" spans="1:5" x14ac:dyDescent="0.25">
      <c r="A31" s="1"/>
      <c r="B31" s="65" t="s">
        <v>200</v>
      </c>
      <c r="C31" s="23">
        <f>(C26-C27)*(1+'Fane 15. Nøgletal'!C10)</f>
        <v>76020179.692927063</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SYwJdjQdl79DLULI3nhwnnc4fNFGXi8mIF2GMdUqSqPfdT+hIkgPF94wkxshTp89T89OJEmkZgBSr8zD5e8BEg==" saltValue="epIx2BuRw+Le/ZjED18A7w=="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3" t="s">
        <v>44</v>
      </c>
      <c r="C3" s="103"/>
      <c r="D3" s="1"/>
    </row>
    <row r="4" spans="1:4" ht="15" customHeight="1" x14ac:dyDescent="0.25">
      <c r="A4" s="1"/>
      <c r="B4" s="103"/>
      <c r="C4" s="10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7" t="s">
        <v>10</v>
      </c>
      <c r="C8" s="109"/>
      <c r="D8" s="1"/>
    </row>
    <row r="9" spans="1:4" x14ac:dyDescent="0.25">
      <c r="A9" s="1"/>
      <c r="B9" s="65" t="s">
        <v>164</v>
      </c>
      <c r="C9" s="22">
        <v>0</v>
      </c>
      <c r="D9" s="1"/>
    </row>
    <row r="10" spans="1:4" x14ac:dyDescent="0.25">
      <c r="A10" s="1"/>
      <c r="B10" s="33"/>
      <c r="C10" s="19"/>
      <c r="D10" s="1"/>
    </row>
    <row r="11" spans="1:4" x14ac:dyDescent="0.25">
      <c r="A11" s="1"/>
      <c r="B11" s="111" t="s">
        <v>218</v>
      </c>
      <c r="C11" s="112"/>
      <c r="D11" s="1"/>
    </row>
    <row r="12" spans="1:4" x14ac:dyDescent="0.25">
      <c r="A12" s="1"/>
      <c r="B12" s="113"/>
      <c r="C12" s="114"/>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nqNG+dOYNZ9yx4oqMIk+Tc7HbkpY+TOydSxk5K/YDtBAKmu5nJs6X6GIaBIUrh0qz9IoBlIylyd+3mVx9yCiw==" saltValue="egoDpKZ1mT1BEMl/7DfjV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2024-10-04T08:20:09Z</dcterms:modified>
</cp:coreProperties>
</file>