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Lolland Vand AS (V125)\ØR2025\"/>
    </mc:Choice>
  </mc:AlternateContent>
  <xr:revisionPtr revIDLastSave="0" documentId="13_ncr:1_{EFE5FE68-775A-4C64-B24D-123AB32D0DF7}"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<sst xmlns="http://schemas.openxmlformats.org/spreadsheetml/2006/main" count="448" uniqueCount="204">
  <si>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</si>
  <si>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</si>
  <si>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</si>
  <si>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</si>
  <si>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</si>
  <si>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</si>
  <si>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</si>
  <si>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</si>
  <si>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</si>
  <si>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</si>
  <si>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</si>
  <si>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</si>
  <si>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</si>
  <si>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</si>
  <si>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</si>
  <si>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</si>
  <si>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</si>
  <si>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</si>
  <si>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</si>
  <si>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</si>
  <si>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</si>
  <si>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</si>
  <si>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</si>
  <si>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</si>
  <si>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</si>
  <si>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</si>
  <si>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</si>
  <si>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</si>
  <si>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</si>
  <si>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</si>
  <si>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</si>
  <si>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</si>
  <si>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</si>
  <si>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</si>
  <si>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</si>
  <si>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</si>
  <si>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</si>
  <si>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</si>
  <si>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</si>
  <si>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</si>
  <si>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</si>
  <si>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</si>
  <si>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</si>
  <si>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</si>
  <si>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</si>
  <si>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</si>
  <si>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</si>
  <si>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</si>
  <si>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</si>
  <si>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</si>
  <si>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</si>
  <si>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</si>
  <si>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</si>
  <si>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</si>
  <si>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</si>
  <si>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</si>
  <si>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</si>
  <si>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</si>
  <si>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</si>
  <si>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</si>
  <si>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</si>
  <si>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</si>
  <si>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</si>
  <si>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</si>
  <si>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</si>
  <si>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</si>
  <si>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</si>
  <si>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</si>
  <si>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</si>
  <si>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</si>
  <si>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</si>
  <si>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</si>
  <si>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</si>
  <si>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</si>
  <si>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</si>
  <si>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</si>
  <si>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</si>
  <si>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</si>
  <si>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</si>
  <si>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</si>
  <si>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</si>
  <si>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</si>
  <si>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</si>
  <si>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</si>
  <si>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</si>
  <si>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</si>
  <si>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</si>
  <si>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</si>
  <si>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</si>
  <si>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</si>
  <si>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</si>
  <si>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</si>
  <si>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</si>
  <si>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</si>
  <si>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</si>
  <si>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</si>
  <si>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</si>
  <si>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</si>
  <si>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</si>
  <si>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</si>
  <si>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</si>
  <si>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</si>
  <si>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</si>
  <si>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</si>
  <si>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</si>
  <si>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</si>
  <si>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</si>
  <si>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</si>
  <si>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</si>
  <si>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</si>
  <si>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</si>
  <si>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</si>
  <si>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</si>
  <si>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</si>
  <si>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</si>
  <si>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</si>
  <si>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</si>
  <si>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</si>
  <si>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</si>
  <si>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</si>
  <si>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</si>
  <si>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</si>
  <si>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</si>
  <si>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</si>
  <si>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</si>
  <si>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</si>
  <si>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</si>
  <si>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</si>
  <si>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</si>
  <si>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</si>
  <si>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</si>
  <si>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</si>
  <si>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</si>
  <si>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</si>
  <si>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</si>
  <si>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</si>
  <si>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</si>
  <si>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</si>
  <si>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</si>
  <si>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</si>
  <si>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</si>
  <si>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</si>
  <si>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</si>
  <si>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</si>
  <si>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</si>
  <si>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</si>
  <si>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</si>
  <si>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</si>
  <si>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</si>
  <si>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</si>
  <si>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</si>
  <si>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</si>
  <si>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</si>
  <si>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</si>
  <si>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</si>
  <si>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</si>
  <si>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</si>
  <si>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</si>
  <si>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</si>
  <si>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</si>
  <si>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</si>
  <si>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</si>
  <si>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</si>
  <si>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</si>
  <si>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</si>
  <si>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</si>
  <si>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</si>
  <si>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</si>
  <si>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</si>
  <si>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</si>
  <si>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</si>
  <si>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</si>
  <si>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</si>
  <si>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</si>
  <si>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</si>
  <si>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</si>
  <si>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</si>
  <si>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</si>
  <si>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</si>
  <si>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</si>
  <si>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</si>
  <si>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</si>
  <si>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</si>
  <si>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</si>
  <si>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</si>
  <si>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</si>
  <si>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</si>
  <si>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</si>
  <si>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</si>
  <si>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</si>
  <si>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</si>
  <si>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</si>
  <si>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</si>
  <si>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</si>
  <si>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</si>
  <si>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</si>
  <si>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</si>
  <si>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</si>
  <si>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</si>
  <si>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</si>
  <si>
    <t>Reduktion af vandtab</t>
  </si>
  <si>
    <t>Vandtab, optimering og forsyningssikkerhed</t>
  </si>
  <si>
    <t>Udvidelse af forsyningsområde</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</si>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</sst>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1"/>
    </row>
    <row r="7" spans="1:7" ht="15" customHeight="1" x14ac:dyDescent="0.25">
      <c r="A7" s="1"/>
      <c r="B7" s="3"/>
      <c r="C7" s="88"/>
      <c r="D7" s="88"/>
      <c r="E7" s="88"/>
      <c r="F7" s="88"/>
      <c r="G7" s="1"/>
    </row>
    <row r="8" spans="1:7" ht="15.75" x14ac:dyDescent="0.25">
      <c r="A8" s="1"/>
      <c r="B8" s="4"/>
      <c r="C8" s="90" t="s">
        <v>196</v>
      </c>
      <c r="D8" s="90"/>
      <c r="E8" s="90"/>
      <c r="F8" s="90"/>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9" t="s">
        <v>5</v>
      </c>
      <c r="D11" s="89"/>
      <c r="E11" s="89"/>
      <c r="F11" s="89"/>
      <c r="G11" s="1"/>
    </row>
    <row r="12" spans="1:7" x14ac:dyDescent="0.25">
      <c r="A12" s="1"/>
      <c r="B12" s="1"/>
      <c r="C12" s="1"/>
      <c r="D12" s="1"/>
      <c r="E12" s="1"/>
      <c r="F12" s="1"/>
      <c r="G12" s="1"/>
    </row>
    <row r="13" spans="1:7" x14ac:dyDescent="0.25">
      <c r="A13" s="1"/>
      <c r="B13" s="6" t="s">
        <v>6</v>
      </c>
      <c r="C13" s="85" t="s">
        <v>124</v>
      </c>
      <c r="D13" s="86"/>
      <c r="E13" s="86"/>
      <c r="F13" s="87"/>
      <c r="G13" s="1"/>
    </row>
    <row r="14" spans="1:7" x14ac:dyDescent="0.25">
      <c r="A14" s="1"/>
      <c r="B14" s="6" t="s">
        <v>14</v>
      </c>
      <c r="C14" s="85" t="s">
        <v>159</v>
      </c>
      <c r="D14" s="86"/>
      <c r="E14" s="86"/>
      <c r="F14" s="87"/>
      <c r="G14" s="1"/>
    </row>
    <row r="15" spans="1:7" x14ac:dyDescent="0.25">
      <c r="A15" s="1"/>
      <c r="B15" s="6" t="s">
        <v>29</v>
      </c>
      <c r="C15" s="85" t="s">
        <v>107</v>
      </c>
      <c r="D15" s="86"/>
      <c r="E15" s="86"/>
      <c r="F15" s="87"/>
      <c r="G15" s="1"/>
    </row>
    <row r="16" spans="1:7" x14ac:dyDescent="0.25">
      <c r="A16" s="1"/>
      <c r="B16" s="6" t="s">
        <v>30</v>
      </c>
      <c r="C16" s="85" t="s">
        <v>125</v>
      </c>
      <c r="D16" s="86"/>
      <c r="E16" s="86"/>
      <c r="F16" s="87"/>
      <c r="G16" s="1"/>
    </row>
    <row r="17" spans="1:7" x14ac:dyDescent="0.25">
      <c r="A17" s="1"/>
      <c r="B17" s="6" t="s">
        <v>57</v>
      </c>
      <c r="C17" s="85" t="s">
        <v>126</v>
      </c>
      <c r="D17" s="86"/>
      <c r="E17" s="86"/>
      <c r="F17" s="87"/>
      <c r="G17" s="1"/>
    </row>
    <row r="18" spans="1:7" x14ac:dyDescent="0.25">
      <c r="A18" s="1"/>
      <c r="B18" s="6" t="s">
        <v>49</v>
      </c>
      <c r="C18" s="91" t="s">
        <v>42</v>
      </c>
      <c r="D18" s="92"/>
      <c r="E18" s="92"/>
      <c r="F18" s="93"/>
      <c r="G18" s="1"/>
    </row>
    <row r="19" spans="1:7" x14ac:dyDescent="0.25">
      <c r="A19" s="1"/>
      <c r="B19" s="6" t="s">
        <v>50</v>
      </c>
      <c r="C19" s="91" t="s">
        <v>43</v>
      </c>
      <c r="D19" s="92"/>
      <c r="E19" s="92"/>
      <c r="F19" s="93"/>
      <c r="G19" s="1"/>
    </row>
    <row r="20" spans="1:7" x14ac:dyDescent="0.25">
      <c r="A20" s="1"/>
      <c r="B20" s="6" t="s">
        <v>7</v>
      </c>
      <c r="C20" s="91" t="s">
        <v>9</v>
      </c>
      <c r="D20" s="92"/>
      <c r="E20" s="92"/>
      <c r="F20" s="93"/>
      <c r="G20" s="1"/>
    </row>
    <row r="21" spans="1:7" x14ac:dyDescent="0.25">
      <c r="A21" s="1"/>
      <c r="B21" s="6" t="s">
        <v>51</v>
      </c>
      <c r="C21" s="82" t="s">
        <v>11</v>
      </c>
      <c r="D21" s="83"/>
      <c r="E21" s="83"/>
      <c r="F21" s="84"/>
      <c r="G21" s="1"/>
    </row>
    <row r="22" spans="1:7" x14ac:dyDescent="0.25">
      <c r="A22" s="1"/>
      <c r="B22" s="6" t="s">
        <v>37</v>
      </c>
      <c r="C22" s="76" t="s">
        <v>127</v>
      </c>
      <c r="D22" s="77"/>
      <c r="E22" s="77"/>
      <c r="F22" s="78"/>
      <c r="G22" s="1"/>
    </row>
    <row r="23" spans="1:7" x14ac:dyDescent="0.25">
      <c r="A23" s="1"/>
      <c r="B23" s="6" t="s">
        <v>8</v>
      </c>
      <c r="C23" s="76" t="s">
        <v>89</v>
      </c>
      <c r="D23" s="77"/>
      <c r="E23" s="77"/>
      <c r="F23" s="78"/>
      <c r="G23" s="1"/>
    </row>
    <row r="24" spans="1:7" x14ac:dyDescent="0.25">
      <c r="A24" s="1"/>
      <c r="B24" s="6" t="s">
        <v>85</v>
      </c>
      <c r="C24" s="76" t="s">
        <v>78</v>
      </c>
      <c r="D24" s="77"/>
      <c r="E24" s="77"/>
      <c r="F24" s="78"/>
      <c r="G24" s="1"/>
    </row>
    <row r="25" spans="1:7" x14ac:dyDescent="0.25">
      <c r="A25" s="1"/>
      <c r="B25" s="6" t="s">
        <v>86</v>
      </c>
      <c r="C25" s="76" t="s">
        <v>38</v>
      </c>
      <c r="D25" s="77"/>
      <c r="E25" s="77"/>
      <c r="F25" s="78"/>
      <c r="G25" s="1"/>
    </row>
    <row r="26" spans="1:7" x14ac:dyDescent="0.25">
      <c r="A26" s="1"/>
      <c r="B26" s="6" t="s">
        <v>87</v>
      </c>
      <c r="C26" s="76" t="s">
        <v>39</v>
      </c>
      <c r="D26" s="77"/>
      <c r="E26" s="77"/>
      <c r="F26" s="78"/>
      <c r="G26" s="1"/>
    </row>
    <row r="27" spans="1:7" x14ac:dyDescent="0.25">
      <c r="A27" s="1"/>
      <c r="B27" s="6" t="s">
        <v>52</v>
      </c>
      <c r="C27" s="76" t="s">
        <v>58</v>
      </c>
      <c r="D27" s="77"/>
      <c r="E27" s="77"/>
      <c r="F27" s="78"/>
      <c r="G27" s="1"/>
    </row>
    <row r="28" spans="1:7" x14ac:dyDescent="0.25">
      <c r="A28" s="1"/>
      <c r="B28" s="6" t="s">
        <v>46</v>
      </c>
      <c r="C28" s="76" t="s">
        <v>31</v>
      </c>
      <c r="D28" s="77"/>
      <c r="E28" s="77"/>
      <c r="F28" s="78"/>
      <c r="G28" s="1"/>
    </row>
    <row r="29" spans="1:7" x14ac:dyDescent="0.25">
      <c r="A29" s="1"/>
      <c r="B29" s="6" t="s">
        <v>88</v>
      </c>
      <c r="C29" s="79" t="s">
        <v>47</v>
      </c>
      <c r="D29" s="80"/>
      <c r="E29" s="80"/>
      <c r="F29" s="8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hri+Z/Xxm3E+sQhRoQXp/prNpvQHYk3ZnqZYhoSOaxQmRroZ+sUN6HJashMoIS9kAbUu37Kt+Q4r/8W+5SAlng==" saltValue="FpWYV0OWbs0uzUF+nw17SA=="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4" t="s">
        <v>197</v>
      </c>
      <c r="C10" s="65">
        <v>9954998</v>
      </c>
      <c r="D10" s="14" t="s">
        <v>3</v>
      </c>
      <c r="E10" s="1"/>
    </row>
    <row r="11" spans="1:5" x14ac:dyDescent="0.25">
      <c r="A11" s="1"/>
      <c r="B11" s="64" t="s">
        <v>198</v>
      </c>
      <c r="C11" s="65">
        <v>72834</v>
      </c>
      <c r="D11" s="14" t="s">
        <v>3</v>
      </c>
      <c r="E11" s="1"/>
    </row>
    <row r="12" spans="1:5" x14ac:dyDescent="0.25">
      <c r="A12" s="1"/>
      <c r="B12" s="64" t="s">
        <v>199</v>
      </c>
      <c r="C12" s="65">
        <v>20405</v>
      </c>
      <c r="D12" s="14" t="s">
        <v>3</v>
      </c>
      <c r="E12" s="1"/>
    </row>
    <row r="13" spans="1:5" x14ac:dyDescent="0.25">
      <c r="A13" s="1"/>
      <c r="B13" s="64"/>
      <c r="C13" s="65"/>
      <c r="D13" s="14" t="s">
        <v>3</v>
      </c>
      <c r="E13" s="1"/>
    </row>
    <row r="14" spans="1:5" x14ac:dyDescent="0.25">
      <c r="A14" s="1"/>
      <c r="B14" s="64"/>
      <c r="C14" s="65"/>
      <c r="D14" s="14" t="s">
        <v>3</v>
      </c>
      <c r="E14" s="1"/>
    </row>
    <row r="15" spans="1:5" x14ac:dyDescent="0.25">
      <c r="A15" s="1"/>
      <c r="B15" s="64"/>
      <c r="C15" s="65"/>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10048237</v>
      </c>
      <c r="D19" s="13" t="s">
        <v>3</v>
      </c>
      <c r="E19" s="1"/>
    </row>
    <row r="20" spans="1:5" x14ac:dyDescent="0.25">
      <c r="A20" s="1"/>
      <c r="B20" s="52" t="s">
        <v>144</v>
      </c>
      <c r="C20" s="12">
        <f>C19*(1+'Fane 13. Nøgletal'!C11)^2</f>
        <v>11424802.161098531</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xFpdSn87NQhlvtTOCJfda82iG4SGR9nUoG2ZewX8GdYF8iJEtzb80JgH1FaV0hMpfD0lz2qJdbz5wcuZkjPxGg==" saltValue="a8E77HImF+AxW46iZA7QU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172</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1"/>
      <c r="D7" s="1"/>
      <c r="E7" s="1"/>
    </row>
    <row r="8" spans="1:5" x14ac:dyDescent="0.25">
      <c r="A8" s="1"/>
      <c r="B8" s="98" t="s">
        <v>175</v>
      </c>
      <c r="C8" s="99"/>
      <c r="D8" s="100"/>
      <c r="E8" s="1"/>
    </row>
    <row r="9" spans="1:5" x14ac:dyDescent="0.25">
      <c r="A9" s="1"/>
      <c r="B9" s="56" t="s">
        <v>176</v>
      </c>
      <c r="C9" s="9">
        <v>968700.84928303957</v>
      </c>
      <c r="D9" s="39" t="s">
        <v>3</v>
      </c>
      <c r="E9" s="1"/>
    </row>
    <row r="10" spans="1:5" x14ac:dyDescent="0.25">
      <c r="A10" s="1"/>
      <c r="B10" s="56" t="s">
        <v>174</v>
      </c>
      <c r="C10" s="9">
        <v>-1483990.5171424299</v>
      </c>
      <c r="D10" s="14" t="s">
        <v>3</v>
      </c>
      <c r="E10" s="1"/>
    </row>
    <row r="11" spans="1:5" x14ac:dyDescent="0.25">
      <c r="A11" s="1"/>
      <c r="B11" s="52"/>
      <c r="C11" s="53"/>
      <c r="D11" s="19"/>
      <c r="E11" s="1"/>
    </row>
    <row r="12" spans="1:5" ht="53.85" customHeight="1" x14ac:dyDescent="0.25">
      <c r="A12" s="1"/>
      <c r="B12" s="107" t="s">
        <v>173</v>
      </c>
      <c r="C12" s="108"/>
      <c r="D12" s="109"/>
      <c r="E12" s="1"/>
    </row>
    <row r="13" spans="1:5" x14ac:dyDescent="0.25">
      <c r="A13" s="1"/>
      <c r="B13" s="1"/>
      <c r="C13" s="1"/>
      <c r="D13" s="1"/>
      <c r="E13" s="1"/>
    </row>
    <row r="14" spans="1:5" x14ac:dyDescent="0.25">
      <c r="A14" s="1"/>
      <c r="B14" s="68" t="s">
        <v>177</v>
      </c>
      <c r="C14" s="69"/>
      <c r="D14" s="70"/>
      <c r="E14" s="1"/>
    </row>
    <row r="15" spans="1:5" x14ac:dyDescent="0.25">
      <c r="A15" s="1"/>
      <c r="B15" s="56" t="s">
        <v>178</v>
      </c>
      <c r="C15" s="9">
        <f>IF(C10&lt;0,C10,0)</f>
        <v>-1483990.5171424299</v>
      </c>
      <c r="D15" s="14" t="s">
        <v>3</v>
      </c>
      <c r="E15" s="1"/>
    </row>
    <row r="16" spans="1:5" x14ac:dyDescent="0.25">
      <c r="A16" s="1"/>
      <c r="B16" s="56" t="s">
        <v>185</v>
      </c>
      <c r="C16" s="9">
        <f>IF(SUM(C9)&gt;0,SUM(C9),0)</f>
        <v>968700.84928303957</v>
      </c>
      <c r="D16" s="14" t="s">
        <v>3</v>
      </c>
      <c r="E16" s="1"/>
    </row>
    <row r="17" spans="1:5" ht="26.25" x14ac:dyDescent="0.25">
      <c r="A17" s="1"/>
      <c r="B17" s="71" t="s">
        <v>179</v>
      </c>
      <c r="C17" s="62">
        <f>IF(SUM(C15:C16)&gt;0,0,SUM(C15:C16))</f>
        <v>-515289.66785939038</v>
      </c>
      <c r="D17" s="17" t="s">
        <v>3</v>
      </c>
      <c r="E17" s="1"/>
    </row>
    <row r="18" spans="1:5" x14ac:dyDescent="0.25">
      <c r="A18" s="1"/>
      <c r="B18" s="52"/>
      <c r="C18" s="53"/>
      <c r="D18" s="19"/>
      <c r="E18" s="1"/>
    </row>
    <row r="19" spans="1:5" x14ac:dyDescent="0.25">
      <c r="A19" s="1"/>
      <c r="B19" s="1"/>
      <c r="C19" s="1"/>
      <c r="D19" s="1"/>
      <c r="E19" s="1"/>
    </row>
    <row r="20" spans="1:5" x14ac:dyDescent="0.25">
      <c r="A20" s="1"/>
      <c r="B20" s="68" t="s">
        <v>180</v>
      </c>
      <c r="C20" s="69"/>
      <c r="D20" s="70"/>
      <c r="E20" s="1"/>
    </row>
    <row r="21" spans="1:5" x14ac:dyDescent="0.25">
      <c r="A21" s="1"/>
      <c r="B21" s="56" t="s">
        <v>181</v>
      </c>
      <c r="C21" s="9">
        <v>44081171.806310214</v>
      </c>
      <c r="D21" s="14" t="s">
        <v>3</v>
      </c>
      <c r="E21" s="1"/>
    </row>
    <row r="22" spans="1:5" x14ac:dyDescent="0.25">
      <c r="A22" s="1"/>
      <c r="B22" s="56" t="s">
        <v>182</v>
      </c>
      <c r="C22" s="9">
        <v>45487355</v>
      </c>
      <c r="D22" s="14" t="s">
        <v>3</v>
      </c>
      <c r="E22" s="1"/>
    </row>
    <row r="23" spans="1:5" x14ac:dyDescent="0.25">
      <c r="A23" s="1"/>
      <c r="B23" s="56" t="s">
        <v>28</v>
      </c>
      <c r="C23" s="9">
        <v>0</v>
      </c>
      <c r="D23" s="14" t="s">
        <v>3</v>
      </c>
      <c r="E23" s="1"/>
    </row>
    <row r="24" spans="1:5" x14ac:dyDescent="0.25">
      <c r="A24" s="1"/>
      <c r="B24" s="73" t="s">
        <v>183</v>
      </c>
      <c r="C24" s="46">
        <f>C21-C22-C23</f>
        <v>-1406183.1936897859</v>
      </c>
      <c r="D24" s="17" t="s">
        <v>3</v>
      </c>
      <c r="E24" s="1"/>
    </row>
    <row r="25" spans="1:5" x14ac:dyDescent="0.25">
      <c r="A25" s="1"/>
      <c r="B25" s="52"/>
      <c r="C25" s="53"/>
      <c r="D25" s="19"/>
      <c r="E25" s="1"/>
    </row>
    <row r="26" spans="1:5" x14ac:dyDescent="0.25">
      <c r="A26" s="1"/>
      <c r="B26" s="1"/>
      <c r="C26" s="1"/>
      <c r="D26" s="1"/>
      <c r="E26" s="1"/>
    </row>
    <row r="27" spans="1:5" x14ac:dyDescent="0.25">
      <c r="A27" s="1"/>
      <c r="B27" s="98" t="s">
        <v>184</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-1921472.8615491763</v>
      </c>
      <c r="D28" s="14" t="s">
        <v>3</v>
      </c>
      <c r="E28" s="1"/>
    </row>
    <row r="29" spans="1:5" x14ac:dyDescent="0.25">
      <c r="A29" s="1"/>
      <c r="B29" s="57" t="s">
        <v>48</v>
      </c>
      <c r="C29" s="9">
        <v>2</v>
      </c>
      <c r="D29" s="14" t="s">
        <v>18</v>
      </c>
      <c r="E29" s="1"/>
    </row>
    <row r="30" spans="1:5" x14ac:dyDescent="0.25">
      <c r="A30" s="1"/>
      <c r="B30" s="58" t="s">
        <v>64</v>
      </c>
      <c r="C30" s="10">
        <f>C28/C29</f>
        <v>-960736.43077458814</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T6tCmM7UDYXKjtvtolND94DXNK6xSzBKUpz+cz5a8giNYYQTT+cxg7m1meNp/CggpXkN2HIP6M8OYRhRJthnzA==" saltValue="wHV+xow84O/mQOPrhmhdVw=="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8"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ZqFjg58aBOSx6lqqoy4hlz64hmpd34DjQ/Mxy3mQwg70Wgar6knEzRrKeic7m2Lu878c1UO+PSIlvVbDb6lOQ==" saltValue="O07iCmFAv1s+l32TfmDgkg=="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6" t="s">
        <v>83</v>
      </c>
      <c r="E9" s="117"/>
      <c r="F9" s="116" t="s">
        <v>2</v>
      </c>
      <c r="G9" s="117"/>
      <c r="H9" s="116" t="s">
        <v>84</v>
      </c>
      <c r="I9" s="117"/>
      <c r="J9" s="116" t="s">
        <v>25</v>
      </c>
      <c r="K9" s="117"/>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AxjJPNJJv8EgJLQYMJ1x1fWSP/y+uNxvwSzo2irYA3mRyaRmCYJGjcXscJCxhX6sQGlt2KKEC89f2zxn3m9W/g==" saltValue="+cvVgCIN+EeskIcDbrXqg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1" t="s">
        <v>15</v>
      </c>
      <c r="C9" s="73" t="s">
        <v>10</v>
      </c>
      <c r="D9" s="72"/>
      <c r="E9" s="73"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200</v>
      </c>
      <c r="C11" s="21">
        <v>0</v>
      </c>
      <c r="D11" s="14" t="s">
        <v>3</v>
      </c>
      <c r="E11" s="9">
        <v>1634054</v>
      </c>
      <c r="F11" s="14" t="s">
        <v>3</v>
      </c>
      <c r="G11" s="1"/>
    </row>
    <row r="12" spans="1:7" x14ac:dyDescent="0.25">
      <c r="A12" s="1"/>
      <c r="B12" s="26" t="s">
        <v>201</v>
      </c>
      <c r="C12" s="21">
        <v>0</v>
      </c>
      <c r="D12" s="14" t="s">
        <v>3</v>
      </c>
      <c r="E12" s="9">
        <v>723046</v>
      </c>
      <c r="F12" s="14" t="s">
        <v>3</v>
      </c>
      <c r="G12" s="1"/>
    </row>
    <row r="13" spans="1:7" x14ac:dyDescent="0.25">
      <c r="A13" s="1"/>
      <c r="B13" s="26" t="s">
        <v>202</v>
      </c>
      <c r="C13" s="21">
        <v>297675</v>
      </c>
      <c r="D13" s="14" t="s">
        <v>3</v>
      </c>
      <c r="E13" s="9">
        <v>120326</v>
      </c>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297675</v>
      </c>
      <c r="D17" s="13" t="s">
        <v>3</v>
      </c>
      <c r="E17" s="12">
        <f>SUM(E10:E16)</f>
        <v>2477426</v>
      </c>
      <c r="F17" s="13" t="s">
        <v>3</v>
      </c>
      <c r="G17" s="1"/>
    </row>
    <row r="18" spans="1:7" x14ac:dyDescent="0.25">
      <c r="A18" s="1"/>
      <c r="B18" s="52" t="s">
        <v>147</v>
      </c>
      <c r="C18" s="12">
        <f>C17*(1+'Fane 13. Nøgletal'!C11)</f>
        <v>317410.85249999998</v>
      </c>
      <c r="D18" s="13" t="s">
        <v>3</v>
      </c>
      <c r="E18" s="12">
        <f>E17*(1+'Fane 13. Nøgletal'!C11)</f>
        <v>2641679.3437999999</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ESAjWg2Sw61b/mBfBpv9CoPnRDpBAx2Oq9pG5aojo73icGEKaGg6tO20ZhvxvqxCmqpcSEEeMg5HZlgydYsM5g==" saltValue="uMDFWKA6OijMu9O1oShJE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150</v>
      </c>
      <c r="C8" s="99"/>
      <c r="D8" s="99"/>
      <c r="E8" s="99"/>
      <c r="F8" s="100"/>
      <c r="G8" s="1"/>
    </row>
    <row r="9" spans="1:7" x14ac:dyDescent="0.25">
      <c r="A9" s="1"/>
      <c r="B9" s="71" t="s">
        <v>15</v>
      </c>
      <c r="C9" s="73" t="s">
        <v>10</v>
      </c>
      <c r="D9" s="74"/>
      <c r="E9" s="73" t="s">
        <v>26</v>
      </c>
      <c r="F9" s="27"/>
      <c r="G9" s="1"/>
    </row>
    <row r="10" spans="1:7" x14ac:dyDescent="0.25">
      <c r="A10" s="1"/>
      <c r="B10" s="23" t="s">
        <v>203</v>
      </c>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0</v>
      </c>
      <c r="D13" s="13" t="s">
        <v>3</v>
      </c>
      <c r="E13" s="12">
        <f>SUM(E10:E12)</f>
        <v>0</v>
      </c>
      <c r="F13" s="13" t="s">
        <v>3</v>
      </c>
      <c r="G13" s="1"/>
    </row>
    <row r="14" spans="1:7" x14ac:dyDescent="0.25">
      <c r="A14" s="1"/>
      <c r="B14" s="52"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lCrYf5a6ga79YTBiKzSZSg409iRHYE987PYaagbJZKBIzFMFHwqPoeroApmQ4gfF7sObnNNZ4hpW1HDyl2zlw==" saltValue="j+DP2+NFmMEcJKdCJoeXWA=="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8" t="s">
        <v>10</v>
      </c>
      <c r="D9" s="119"/>
      <c r="E9" s="118" t="s">
        <v>26</v>
      </c>
      <c r="F9" s="119"/>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Z6gqo2xQX8G9sSlgr4YG839viSNKLw2Fe5J4E6N+4DUEcDbJau0Zv+XnEpFvCwMzziZNE+Tn7nbPKhZ/mDUBPQ==" saltValue="Zx9ZCLTaxaFXpvKAFlasuQ=="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152</v>
      </c>
      <c r="C8" s="99"/>
      <c r="D8" s="99"/>
      <c r="E8" s="99"/>
      <c r="F8" s="100"/>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lL1mrLLrMJ+Tio2rVZeEgeOe3Hxquhx4QOcoMZEZaMAbG63DAOICUeVYYkKvpqlK4Dy522hG43TWGgPNBNyJ2w==" saltValue="OmXm4TQRNYtFJL2E8GurJA=="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194</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195</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v3hw17R1IXMp9hGG2X4757ypLv0bxsK60uAE7hRqDSaPM5wfBF79M4zOoA1b3jx3e2YBsKGyTlZ3hUSeN/rwfg==" saltValue="at4RVeGnjbUOqdX6E/OaTw=="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33331426.90609774</v>
      </c>
      <c r="D9" s="8" t="s">
        <v>3</v>
      </c>
      <c r="E9" s="1"/>
    </row>
    <row r="10" spans="1:5" ht="17.100000000000001" customHeight="1" x14ac:dyDescent="0.25">
      <c r="A10" s="1"/>
      <c r="B10" s="24" t="s">
        <v>32</v>
      </c>
      <c r="C10" s="7">
        <f>'Fane 10.1. Varige tillæg'!C18</f>
        <v>317410.85249999998</v>
      </c>
      <c r="D10" s="8" t="s">
        <v>3</v>
      </c>
      <c r="E10" s="1"/>
    </row>
    <row r="11" spans="1:5" ht="17.100000000000001" customHeight="1" x14ac:dyDescent="0.25">
      <c r="A11" s="1"/>
      <c r="B11" s="24" t="s">
        <v>33</v>
      </c>
      <c r="C11" s="9">
        <f>'Fane 10.1. Varige tillæg'!E18</f>
        <v>2641679.3437999999</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2406061.28388897</v>
      </c>
      <c r="D16" s="8" t="s">
        <v>3</v>
      </c>
      <c r="E16" s="1"/>
    </row>
    <row r="17" spans="1:5" ht="17.100000000000001" customHeight="1" x14ac:dyDescent="0.25">
      <c r="A17" s="1"/>
      <c r="B17" s="24" t="s">
        <v>9</v>
      </c>
      <c r="C17" s="9">
        <f>-SUM(C9:C16)*'Fane 5. Individuelt eff. krav'!C9</f>
        <v>-608226.29620898643</v>
      </c>
      <c r="D17" s="8" t="s">
        <v>3</v>
      </c>
      <c r="E17" s="1"/>
    </row>
    <row r="18" spans="1:5" ht="17.100000000000001" customHeight="1" x14ac:dyDescent="0.25">
      <c r="A18" s="1"/>
      <c r="B18" s="24" t="s">
        <v>21</v>
      </c>
      <c r="C18" s="9">
        <f>-'Fane 4.1. Gen. krav - drift'!C17</f>
        <v>-274846.06600188743</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3" t="s">
        <v>19</v>
      </c>
      <c r="C20" s="10">
        <f>SUM(C9:C19)</f>
        <v>37813506.024075843</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11424802.161098531</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3"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-960736.43077458814</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48277571.754399791</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iCVcs3SL8RfGm3syWv1KRcbWwVI88MIKawmvbTZNESaDEICkXXjN3fZ2Q3B8t/0rrNHAhfIU4PRlrIlBeJOvw==" saltValue="xFIotA9MXxyY2xkQcubUS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37813506.024075843</v>
      </c>
      <c r="D9" s="8" t="s">
        <v>3</v>
      </c>
      <c r="E9" s="1"/>
    </row>
    <row r="10" spans="1:5" ht="15" customHeight="1" x14ac:dyDescent="0.25">
      <c r="A10" s="1"/>
      <c r="B10" s="47" t="s">
        <v>17</v>
      </c>
      <c r="C10" s="41">
        <f>C9*'Fane 13. Nøgletal'!C11</f>
        <v>2507035.4493962284</v>
      </c>
      <c r="D10" s="8" t="s">
        <v>3</v>
      </c>
      <c r="E10" s="1"/>
    </row>
    <row r="11" spans="1:5" ht="15" customHeight="1" x14ac:dyDescent="0.25">
      <c r="A11" s="1"/>
      <c r="B11" s="47" t="s">
        <v>9</v>
      </c>
      <c r="C11" s="9">
        <f>-SUM(C9:C10)*'Fane 5. Individuelt eff. krav'!C9</f>
        <v>-633751.47427095426</v>
      </c>
      <c r="D11" s="8" t="s">
        <v>3</v>
      </c>
      <c r="E11" s="1"/>
    </row>
    <row r="12" spans="1:5" ht="15" customHeight="1" x14ac:dyDescent="0.25">
      <c r="A12" s="1"/>
      <c r="B12" s="47" t="s">
        <v>21</v>
      </c>
      <c r="C12" s="9">
        <f>-'Fane 4.1. Gen. krav - drift'!C22</f>
        <v>-287206.99297425634</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39399583.00622686</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12182266.544379363</v>
      </c>
      <c r="D16" s="11" t="s">
        <v>3</v>
      </c>
      <c r="E16" s="1"/>
    </row>
    <row r="17" spans="1:5" x14ac:dyDescent="0.25">
      <c r="A17" s="1"/>
      <c r="B17" s="25" t="s">
        <v>65</v>
      </c>
      <c r="C17" s="53"/>
      <c r="D17" s="19"/>
      <c r="E17" s="1"/>
    </row>
    <row r="18" spans="1:5" ht="15" customHeight="1" x14ac:dyDescent="0.25">
      <c r="A18" s="1"/>
      <c r="B18" s="45" t="s">
        <v>66</v>
      </c>
      <c r="C18" s="10">
        <f>'Fane 7. Kontrol af ØR2023'!C30</f>
        <v>-960736.43077458814</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50621113.119831637</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DA0A4BuX9JZ9XCi2ZRl3rwDvlHMJ7zaDkL3OK6G203M+wwqPcC5yD3wd47BrTZpSqPk/DLt64P3SLmX0xuxfw==" saltValue="oI4PS+e9N9FoPc8QYT4uK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39399583.00622686</v>
      </c>
      <c r="D9" s="8" t="s">
        <v>3</v>
      </c>
      <c r="E9" s="1"/>
    </row>
    <row r="10" spans="1:5" ht="15" customHeight="1" x14ac:dyDescent="0.25">
      <c r="A10" s="1"/>
      <c r="B10" s="47" t="s">
        <v>17</v>
      </c>
      <c r="C10" s="41">
        <f>C9*'Fane 13. Nøgletal'!C11</f>
        <v>2612192.3533128407</v>
      </c>
      <c r="D10" s="8" t="s">
        <v>3</v>
      </c>
      <c r="E10" s="1"/>
    </row>
    <row r="11" spans="1:5" ht="15" customHeight="1" x14ac:dyDescent="0.25">
      <c r="A11" s="1"/>
      <c r="B11" s="47" t="s">
        <v>9</v>
      </c>
      <c r="C11" s="9">
        <f>-SUM(C9:C10)*'Fane 5. Individuelt eff. krav'!C9</f>
        <v>-660334.00341028976</v>
      </c>
      <c r="D11" s="8" t="s">
        <v>3</v>
      </c>
      <c r="E11" s="1"/>
    </row>
    <row r="12" spans="1:5" ht="15" customHeight="1" x14ac:dyDescent="0.25">
      <c r="A12" s="1"/>
      <c r="B12" s="47" t="s">
        <v>21</v>
      </c>
      <c r="C12" s="9">
        <f>-'Fane 4.1. Gen. krav - drift'!C27</f>
        <v>-300123.84027628053</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41051317.515853137</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12989950.816271715</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54041268.332124852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N5fUM03wJFAspf3r33KLMdLdSZwOMs2DRRcabJvpQvH1Sns/xFBRflH5McbEpZxjutsJiF5RWxryP64bT+8Mw==" saltValue="+lOV/nFyavVHz1cyau23K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41051317.515853137</v>
      </c>
      <c r="D9" s="8" t="s">
        <v>3</v>
      </c>
      <c r="E9" s="1"/>
    </row>
    <row r="10" spans="1:5" ht="15" customHeight="1" x14ac:dyDescent="0.25">
      <c r="A10" s="1"/>
      <c r="B10" s="47" t="s">
        <v>17</v>
      </c>
      <c r="C10" s="9">
        <f>C9*'Fane 13. Nøgletal'!C11</f>
        <v>2721702.3513010629</v>
      </c>
      <c r="D10" s="8" t="s">
        <v>3</v>
      </c>
      <c r="E10" s="1"/>
    </row>
    <row r="11" spans="1:5" ht="15" customHeight="1" x14ac:dyDescent="0.25">
      <c r="A11" s="1"/>
      <c r="B11" s="47" t="s">
        <v>9</v>
      </c>
      <c r="C11" s="9">
        <f>-SUM(C9:C10)*'Fane 5. Individuelt eff. krav'!C9</f>
        <v>-688016.94769779826</v>
      </c>
      <c r="D11" s="8" t="s">
        <v>3</v>
      </c>
      <c r="E11" s="1"/>
    </row>
    <row r="12" spans="1:5" ht="15" customHeight="1" x14ac:dyDescent="0.25">
      <c r="A12" s="1"/>
      <c r="B12" s="47" t="s">
        <v>21</v>
      </c>
      <c r="C12" s="9">
        <f>-'Fane 4.1. Gen. krav - drift'!C32</f>
        <v>-313621.60986886598</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42771381.309587531</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13851184.555390531</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56622565.86497806</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IKt47hRn5J59DIQHyfm/1MlRtxj+Dr/LMKAB9t3gWJsu25ZboVR4MfjtduaXRCYpy5QM+OTswQELudR9+Jp5Q==" saltValue="YUhj0XL84a0xf6e5hCXiu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33068635.097277898</v>
      </c>
      <c r="D9" s="8" t="s">
        <v>3</v>
      </c>
      <c r="E9" s="1"/>
    </row>
    <row r="10" spans="1:5" x14ac:dyDescent="0.25">
      <c r="A10" s="1"/>
      <c r="B10" s="24" t="s">
        <v>32</v>
      </c>
      <c r="C10" s="7">
        <v>0</v>
      </c>
      <c r="D10" s="8" t="s">
        <v>3</v>
      </c>
      <c r="E10" s="1"/>
    </row>
    <row r="11" spans="1:5" ht="15" customHeight="1" x14ac:dyDescent="0.25">
      <c r="A11" s="1"/>
      <c r="B11" s="24" t="s">
        <v>33</v>
      </c>
      <c r="C11" s="9">
        <v>0</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1177243.4094630932</v>
      </c>
      <c r="D16" s="8" t="s">
        <v>3</v>
      </c>
      <c r="E16" s="1"/>
    </row>
    <row r="17" spans="1:5" x14ac:dyDescent="0.25">
      <c r="A17" s="1"/>
      <c r="B17" s="24" t="s">
        <v>9</v>
      </c>
      <c r="C17" s="9">
        <v>-657912.23970081133</v>
      </c>
      <c r="D17" s="8" t="s">
        <v>3</v>
      </c>
      <c r="E17" s="1"/>
    </row>
    <row r="18" spans="1:5" x14ac:dyDescent="0.25">
      <c r="A18" s="1"/>
      <c r="B18" s="24" t="s">
        <v>21</v>
      </c>
      <c r="C18" s="9">
        <v>-256539.36094244683</v>
      </c>
      <c r="D18" s="8" t="s">
        <v>3</v>
      </c>
      <c r="E18" s="1"/>
    </row>
    <row r="19" spans="1:5" x14ac:dyDescent="0.25">
      <c r="A19" s="1"/>
      <c r="B19" s="24" t="s">
        <v>22</v>
      </c>
      <c r="C19" s="9">
        <v>0</v>
      </c>
      <c r="D19" s="8" t="s">
        <v>3</v>
      </c>
      <c r="E19" s="1"/>
    </row>
    <row r="20" spans="1:5" x14ac:dyDescent="0.25">
      <c r="A20" s="1"/>
      <c r="B20" s="73" t="s">
        <v>19</v>
      </c>
      <c r="C20" s="10">
        <v>33331426.90609774</v>
      </c>
      <c r="D20" s="11" t="s">
        <v>3</v>
      </c>
      <c r="E20" s="1"/>
    </row>
    <row r="21" spans="1:5" x14ac:dyDescent="0.25">
      <c r="A21" s="1"/>
      <c r="B21" s="52" t="s">
        <v>11</v>
      </c>
      <c r="C21" s="53"/>
      <c r="D21" s="19"/>
      <c r="E21" s="1"/>
    </row>
    <row r="22" spans="1:5" x14ac:dyDescent="0.25">
      <c r="A22" s="1"/>
      <c r="B22" s="54" t="s">
        <v>11</v>
      </c>
      <c r="C22" s="10">
        <v>12065728.048581759</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3" t="s">
        <v>40</v>
      </c>
      <c r="C28" s="50">
        <v>0</v>
      </c>
      <c r="D28" s="11" t="s">
        <v>3</v>
      </c>
      <c r="E28" s="1"/>
    </row>
    <row r="29" spans="1:5" x14ac:dyDescent="0.25">
      <c r="A29" s="1"/>
      <c r="B29" s="25" t="s">
        <v>65</v>
      </c>
      <c r="C29" s="53"/>
      <c r="D29" s="19"/>
      <c r="E29" s="1"/>
    </row>
    <row r="30" spans="1:5" x14ac:dyDescent="0.25">
      <c r="A30" s="1"/>
      <c r="B30" s="58" t="s">
        <v>66</v>
      </c>
      <c r="C30" s="10">
        <v>0</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45397154.954679497</v>
      </c>
      <c r="D33" s="19" t="s">
        <v>3</v>
      </c>
      <c r="E33" s="1"/>
    </row>
    <row r="34" spans="1:5" ht="30" customHeight="1" x14ac:dyDescent="0.25">
      <c r="A34" s="1"/>
      <c r="B34" s="97" t="s">
        <v>193</v>
      </c>
      <c r="C34" s="97"/>
      <c r="D34" s="97"/>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GLzytq9B0oyGgsFLvl9rkAXAjfCDrJAX5pg0j5a7l+UabibtELH8oLW5wgiupaESc6liSvccp1bV7gZSr7EGRw==" saltValue="n+vXphOD2sxgpXkyfi8tKQ=="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32"/>
      <c r="D7" s="1"/>
      <c r="E7" s="1"/>
    </row>
    <row r="8" spans="1:5" x14ac:dyDescent="0.25">
      <c r="A8" s="1"/>
      <c r="B8" s="98" t="s">
        <v>75</v>
      </c>
      <c r="C8" s="99"/>
      <c r="D8" s="100"/>
      <c r="E8" s="1"/>
    </row>
    <row r="9" spans="1:5" x14ac:dyDescent="0.25">
      <c r="A9" s="1"/>
      <c r="B9" s="56" t="s">
        <v>167</v>
      </c>
      <c r="C9" s="22">
        <v>12826968.047122343</v>
      </c>
      <c r="D9" s="14" t="s">
        <v>3</v>
      </c>
      <c r="E9" s="1"/>
    </row>
    <row r="10" spans="1:5" x14ac:dyDescent="0.25">
      <c r="A10" s="1"/>
      <c r="B10" s="56" t="s">
        <v>110</v>
      </c>
      <c r="C10" s="61">
        <f>('Fane 3. Omkostninger i ØR2024'!C10+'Fane 3. Omkostninger i ØR2024'!C12+'Fane 3. Omkostninger i ØR2024'!C14)*(1+'Fane 13. Nøgletal'!C10)</f>
        <v>0</v>
      </c>
      <c r="D10" s="14" t="s">
        <v>3</v>
      </c>
      <c r="E10" s="1"/>
    </row>
    <row r="11" spans="1:5" x14ac:dyDescent="0.25">
      <c r="A11" s="1"/>
      <c r="B11" s="56" t="s">
        <v>81</v>
      </c>
      <c r="C11" s="22">
        <f>C9*'Fane 13. Nøgletal'!C23+C10*'Fane 13. Nøgletal'!C23</f>
        <v>256539.36094244686</v>
      </c>
      <c r="D11" s="14" t="s">
        <v>3</v>
      </c>
      <c r="E11" s="1"/>
    </row>
    <row r="12" spans="1:5" x14ac:dyDescent="0.25">
      <c r="A12" s="1"/>
      <c r="B12" s="52"/>
      <c r="C12" s="31"/>
      <c r="D12" s="19"/>
      <c r="E12" s="1"/>
    </row>
    <row r="13" spans="1:5" x14ac:dyDescent="0.25">
      <c r="A13" s="1"/>
      <c r="B13" s="1"/>
      <c r="C13" s="32"/>
      <c r="D13" s="1"/>
      <c r="E13" s="1"/>
    </row>
    <row r="14" spans="1:5" x14ac:dyDescent="0.25">
      <c r="A14" s="1"/>
      <c r="B14" s="98" t="s">
        <v>153</v>
      </c>
      <c r="C14" s="99"/>
      <c r="D14" s="100"/>
      <c r="E14" s="1"/>
    </row>
    <row r="15" spans="1:5" x14ac:dyDescent="0.25">
      <c r="A15" s="1"/>
      <c r="B15" s="56" t="s">
        <v>168</v>
      </c>
      <c r="C15" s="22">
        <f>(C9+C10-C11)*(1+'Fane 13. Nøgletal'!C11)</f>
        <v>13403848.108073622</v>
      </c>
      <c r="D15" s="14" t="s">
        <v>3</v>
      </c>
      <c r="E15" s="1"/>
    </row>
    <row r="16" spans="1:5" x14ac:dyDescent="0.25">
      <c r="A16" s="1"/>
      <c r="B16" s="56" t="s">
        <v>154</v>
      </c>
      <c r="C16" s="22">
        <f>('Fane 2.1. Økonomisk ramme 2025'!C10+'Fane 2.1. Økonomisk ramme 2025'!C12+'Fane 2.1. Økonomisk ramme 2025'!C14)*(1+'Fane 13. Nøgletal'!C11)</f>
        <v>338455.19202074996</v>
      </c>
      <c r="D16" s="14" t="s">
        <v>3</v>
      </c>
      <c r="E16" s="1"/>
    </row>
    <row r="17" spans="1:5" x14ac:dyDescent="0.25">
      <c r="A17" s="1"/>
      <c r="B17" s="56" t="s">
        <v>155</v>
      </c>
      <c r="C17" s="22">
        <f>(C15+C16)*'Fane 13. Nøgletal'!C23</f>
        <v>274846.06600188743</v>
      </c>
      <c r="D17" s="14" t="s">
        <v>3</v>
      </c>
      <c r="E17" s="1"/>
    </row>
    <row r="18" spans="1:5" x14ac:dyDescent="0.25">
      <c r="A18" s="1"/>
      <c r="B18" s="52"/>
      <c r="C18" s="31"/>
      <c r="D18" s="19"/>
      <c r="E18" s="1"/>
    </row>
    <row r="19" spans="1:5" x14ac:dyDescent="0.25">
      <c r="A19" s="1"/>
      <c r="B19" s="1"/>
      <c r="C19" s="32"/>
      <c r="D19" s="1"/>
      <c r="E19" s="1"/>
    </row>
    <row r="20" spans="1:5" x14ac:dyDescent="0.25">
      <c r="A20" s="1"/>
      <c r="B20" s="98" t="s">
        <v>170</v>
      </c>
      <c r="C20" s="99"/>
      <c r="D20" s="100"/>
      <c r="E20" s="1"/>
    </row>
    <row r="21" spans="1:5" x14ac:dyDescent="0.25">
      <c r="A21" s="1"/>
      <c r="B21" s="56" t="s">
        <v>169</v>
      </c>
      <c r="C21" s="48">
        <f>(C15+C16-C17)*(1+'Fane 13. Nøgletal'!C11)</f>
        <v>14360349.648712818</v>
      </c>
      <c r="D21" s="14" t="s">
        <v>3</v>
      </c>
      <c r="E21" s="1"/>
    </row>
    <row r="22" spans="1:5" x14ac:dyDescent="0.25">
      <c r="A22" s="1"/>
      <c r="B22" s="56" t="s">
        <v>171</v>
      </c>
      <c r="C22" s="48">
        <f>(C21)*'Fane 13. Nøgletal'!C23</f>
        <v>287206.99297425634</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15006192.013814026</v>
      </c>
      <c r="D26" s="14" t="s">
        <v>3</v>
      </c>
      <c r="E26" s="1"/>
    </row>
    <row r="27" spans="1:5" x14ac:dyDescent="0.25">
      <c r="A27" s="1"/>
      <c r="B27" s="56" t="s">
        <v>118</v>
      </c>
      <c r="C27" s="48">
        <f>(C26)*'Fane 13. Nøgletal'!C23</f>
        <v>300123.84027628053</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15681080.493443299</v>
      </c>
      <c r="D31" s="14" t="s">
        <v>3</v>
      </c>
      <c r="E31" s="1"/>
    </row>
    <row r="32" spans="1:5" x14ac:dyDescent="0.25">
      <c r="A32" s="1"/>
      <c r="B32" s="56" t="s">
        <v>138</v>
      </c>
      <c r="C32" s="48">
        <f>(C31)*'Fane 13. Nøgletal'!C23</f>
        <v>313621.60986886598</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0h6sDFn8rF+8rJt8tC9B2w5S9NyoGZyzzu0sP+WR8lcoN2v7KmnmsEWVF+1rjv3y5FTKZvQIGm97CI78WymY7w==" saltValue="0tRq3Yy9miSs7DqFBMDbIw=="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162</v>
      </c>
      <c r="C9" s="48">
        <v>25946720.58522363</v>
      </c>
      <c r="D9" s="14" t="s">
        <v>3</v>
      </c>
      <c r="E9" s="1"/>
    </row>
    <row r="10" spans="1:5" x14ac:dyDescent="0.25">
      <c r="A10" s="1"/>
      <c r="B10" s="56" t="s">
        <v>113</v>
      </c>
      <c r="C10" s="75">
        <f>('Fane 3. Omkostninger i ØR2024'!C11+'Fane 3. Omkostninger i ØR2024'!C13+'Fane 3. Omkostninger i ØR2024'!C15)*(1+'Fane 13. Nøgletal'!C10)</f>
        <v>0</v>
      </c>
      <c r="D10" s="14" t="s">
        <v>3</v>
      </c>
      <c r="E10" s="1"/>
    </row>
    <row r="11" spans="1:5" x14ac:dyDescent="0.25">
      <c r="A11" s="1"/>
      <c r="B11" s="56" t="s">
        <v>114</v>
      </c>
      <c r="C11" s="75">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156</v>
      </c>
      <c r="C14" s="99"/>
      <c r="D14" s="100"/>
      <c r="E14" s="1"/>
    </row>
    <row r="15" spans="1:5" x14ac:dyDescent="0.25">
      <c r="A15" s="1"/>
      <c r="B15" s="56" t="s">
        <v>163</v>
      </c>
      <c r="C15" s="48">
        <f>(C9+C10-C11)*(1+'Fane 13. Nøgletal'!C11)</f>
        <v>27666988.160023957</v>
      </c>
      <c r="D15" s="14" t="s">
        <v>3</v>
      </c>
      <c r="E15" s="1"/>
    </row>
    <row r="16" spans="1:5" x14ac:dyDescent="0.25">
      <c r="A16" s="1"/>
      <c r="B16" s="56" t="s">
        <v>157</v>
      </c>
      <c r="C16" s="48">
        <f>('Fane 2.1. Økonomisk ramme 2025'!C11+'Fane 2.1. Økonomisk ramme 2025'!C13+'Fane 2.1. Økonomisk ramme 2025'!C15)*(1+'Fane 13. Nøgletal'!C11)</f>
        <v>2816822.6842939402</v>
      </c>
      <c r="D16" s="14" t="s">
        <v>3</v>
      </c>
      <c r="E16" s="1"/>
    </row>
    <row r="17" spans="1:5" x14ac:dyDescent="0.25">
      <c r="A17" s="1"/>
      <c r="B17" s="56" t="s">
        <v>158</v>
      </c>
      <c r="C17" s="75">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166</v>
      </c>
      <c r="C20" s="99"/>
      <c r="D20" s="100"/>
      <c r="E20" s="1"/>
    </row>
    <row r="21" spans="1:5" x14ac:dyDescent="0.25">
      <c r="A21" s="1"/>
      <c r="B21" s="56" t="s">
        <v>164</v>
      </c>
      <c r="C21" s="48">
        <f>(C15+C16-C17)*(1+'Fane 13. Nøgletal'!C11)</f>
        <v>32504887.503296174</v>
      </c>
      <c r="D21" s="14" t="s">
        <v>3</v>
      </c>
      <c r="E21" s="1"/>
    </row>
    <row r="22" spans="1:5" x14ac:dyDescent="0.25">
      <c r="A22" s="1"/>
      <c r="B22" s="56" t="s">
        <v>165</v>
      </c>
      <c r="C22" s="75">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34659961.544764712</v>
      </c>
      <c r="D26" s="14" t="s">
        <v>3</v>
      </c>
      <c r="E26" s="1"/>
    </row>
    <row r="27" spans="1:5" x14ac:dyDescent="0.25">
      <c r="A27" s="1"/>
      <c r="B27" s="56" t="s">
        <v>121</v>
      </c>
      <c r="C27" s="75">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36957916.995182611</v>
      </c>
      <c r="D31" s="14" t="s">
        <v>3</v>
      </c>
      <c r="E31" s="1"/>
    </row>
    <row r="32" spans="1:5" x14ac:dyDescent="0.25">
      <c r="A32" s="1"/>
      <c r="B32" s="56" t="s">
        <v>141</v>
      </c>
      <c r="C32" s="75">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E7pwinNvvKPIwcQCKh+XyQiB4gyDoVWsC37znEjc2XlLdeE6qN1Ugh/h/PS1DtV+vjTEzSg8OdpSFB9jGPglAw==" saltValue="IkIBLt4kGBTnizB4QYtPMA=="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160</v>
      </c>
      <c r="C9" s="44">
        <v>1.5717831435570272E-2</v>
      </c>
      <c r="D9" s="1"/>
    </row>
    <row r="10" spans="1:4" x14ac:dyDescent="0.25">
      <c r="A10" s="1"/>
      <c r="B10" s="52"/>
      <c r="C10" s="19"/>
      <c r="D10" s="1"/>
    </row>
    <row r="11" spans="1:4" ht="15" customHeight="1" x14ac:dyDescent="0.25">
      <c r="A11" s="1"/>
      <c r="B11" s="103" t="s">
        <v>161</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U7q2fut/byYkT8JdyQAx9DlSdThqR6vObRH7vbvNNLyuy/up2TzzFr+BddS89vv/lJ8v2+IzAlVyq76xVeSM3g==" saltValue="+K/858wkPym+rgNPsxm7ng=="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2024-09-05T06:57:14Z</dcterms:modified>
</cp:coreProperties>
</file>