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alundborg Vandforsyning AS (V11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6" i="27" l="1"/>
  <c r="E17" i="27"/>
  <c r="G29" i="30"/>
  <c r="G16" i="30"/>
  <c r="E39" i="32" l="1"/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C16" i="19" l="1"/>
  <c r="E33" i="32" l="1"/>
  <c r="E41" i="32" s="1"/>
  <c r="E33" i="11" l="1"/>
  <c r="E34" i="1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2" i="36" l="1"/>
  <c r="G16" i="36" s="1"/>
  <c r="G19" i="36" l="1"/>
  <c r="G23" i="36" s="1"/>
  <c r="G25" i="36" l="1"/>
  <c r="G29" i="36" s="1"/>
  <c r="G19" i="30"/>
  <c r="G23" i="30" l="1"/>
  <c r="G25" i="30" s="1"/>
  <c r="E20" i="27"/>
  <c r="E25" i="32"/>
  <c r="C24" i="15" l="1"/>
  <c r="C29" i="2"/>
  <c r="F35" i="11"/>
  <c r="C10" i="37" s="1"/>
  <c r="C11" i="37" s="1"/>
  <c r="G35" i="11"/>
  <c r="C12" i="37" l="1"/>
  <c r="C11" i="2" s="1"/>
  <c r="E11" i="21"/>
  <c r="E12" i="21" s="1"/>
  <c r="C11" i="21"/>
  <c r="C12" i="21" s="1"/>
  <c r="E11" i="29"/>
  <c r="E12" i="29" s="1"/>
  <c r="C11" i="29"/>
  <c r="C12" i="29" s="1"/>
  <c r="C17" i="19"/>
  <c r="C17" i="23" l="1"/>
  <c r="C17" i="22"/>
  <c r="C18" i="15"/>
  <c r="C15" i="2"/>
  <c r="C16" i="2"/>
  <c r="C23" i="2"/>
  <c r="C14" i="2"/>
  <c r="C13" i="2"/>
  <c r="G30" i="30" l="1"/>
  <c r="E19" i="27" l="1"/>
  <c r="G31" i="30" l="1"/>
  <c r="E35" i="11"/>
  <c r="E10" i="37" s="1"/>
  <c r="E11" i="37" s="1"/>
  <c r="G35" i="30" l="1"/>
  <c r="G37" i="30" s="1"/>
  <c r="C19" i="2"/>
  <c r="E12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8" i="27"/>
  <c r="E21" i="27" l="1"/>
  <c r="G41" i="36"/>
  <c r="G43" i="36" s="1"/>
  <c r="C14" i="22" s="1"/>
  <c r="C9" i="2"/>
  <c r="G47" i="36" l="1"/>
  <c r="G49" i="36" s="1"/>
  <c r="C14" i="23" s="1"/>
  <c r="C17" i="2"/>
  <c r="C18" i="2" l="1"/>
  <c r="C21" i="2" s="1"/>
  <c r="C32" i="2" l="1"/>
  <c r="C9" i="15"/>
  <c r="C12" i="15" s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<sst xmlns="http://schemas.openxmlformats.org/spreadsheetml/2006/main" count="673" uniqueCount="277">
  <si>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</si>
  <si>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</si>
  <si>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</si>
  <si>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</si>
  <si>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</si>
  <si>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</si>
  <si>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</si>
  <si>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</si>
  <si>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</si>
  <si>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</si>
  <si>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</si>
  <si>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</si>
  <si>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</si>
  <si>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</si>
  <si>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</si>
  <si>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</si>
  <si>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</si>
  <si>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</si>
  <si>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</si>
  <si>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</si>
  <si>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</si>
  <si>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</si>
  <si>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</si>
  <si>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</si>
  <si>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</si>
  <si>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</si>
  <si>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</si>
  <si>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</si>
  <si>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</si>
  <si>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</si>
  <si>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</si>
  <si>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</si>
  <si>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</si>
  <si>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</si>
  <si>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</si>
  <si>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</si>
  <si>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</si>
  <si>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</si>
  <si>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</si>
  <si>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</si>
  <si>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</si>
  <si>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</si>
  <si>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</si>
  <si>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</si>
  <si>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</si>
  <si>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</si>
  <si>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</si>
  <si>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</si>
  <si>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</si>
  <si>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</si>
  <si>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</si>
  <si>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</si>
  <si>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</si>
  <si>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</si>
  <si>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</si>
  <si>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</si>
  <si>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</si>
  <si>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</si>
  <si>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</si>
  <si>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</si>
  <si>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</si>
  <si>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</si>
  <si>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</si>
  <si>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</si>
  <si>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</si>
  <si>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</si>
  <si>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</si>
  <si>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</si>
  <si>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</si>
  <si>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</si>
  <si>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</si>
  <si>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</si>
  <si>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</si>
  <si>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</si>
  <si>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</si>
  <si>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</si>
  <si>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</si>
  <si>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</si>
  <si>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</si>
  <si>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</si>
  <si>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</si>
  <si>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</si>
  <si>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</si>
  <si>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</si>
  <si>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</si>
  <si>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</si>
  <si>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</si>
  <si>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</si>
  <si>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</si>
  <si>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</si>
  <si>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</si>
  <si>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</si>
  <si>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</si>
  <si>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</si>
  <si>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</si>
  <si>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</si>
  <si>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</si>
  <si>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</si>
  <si>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</si>
  <si>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</si>
  <si>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</si>
  <si>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</si>
  <si>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</si>
  <si>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</si>
  <si>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</si>
  <si>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</si>
  <si>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</si>
  <si>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</si>
  <si>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</si>
  <si>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</si>
  <si>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</si>
  <si>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</si>
  <si>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</si>
  <si>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</si>
  <si>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</si>
  <si>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</si>
  <si>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</si>
  <si>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</si>
  <si>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</si>
  <si>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</si>
  <si>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</si>
  <si>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</si>
  <si>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</si>
  <si>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</si>
  <si>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</si>
  <si>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</si>
  <si>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</si>
  <si>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</si>
  <si>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</si>
  <si>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</si>
  <si>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</si>
  <si>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</si>
  <si>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</si>
  <si>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</si>
  <si>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</si>
  <si>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</si>
  <si>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</si>
  <si>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</si>
  <si>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</si>
  <si>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</si>
  <si>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</si>
  <si>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</si>
  <si>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</si>
  <si>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</si>
  <si>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</si>
  <si>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</si>
  <si>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</si>
  <si>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</si>
  <si>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</si>
  <si>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</si>
  <si>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</si>
  <si>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</si>
  <si>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</si>
  <si>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</si>
  <si>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</si>
  <si>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</si>
  <si>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</si>
  <si>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</si>
  <si>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</si>
  <si>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</si>
  <si>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</si>
  <si>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</si>
  <si>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</si>
  <si>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</si>
  <si>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</si>
  <si>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</si>
  <si>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</si>
  <si>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</si>
  <si>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</si>
  <si>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</si>
  <si>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</si>
  <si>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</si>
  <si>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</si>
  <si>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</si>
  <si>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</si>
  <si>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</si>
  <si>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</si>
  <si>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</si>
  <si>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</si>
  <si>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</si>
  <si>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</si>
  <si>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</si>
  <si>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</si>
  <si>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</si>
  <si>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</si>
  <si>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</si>
  <si>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</si>
  <si>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</si>
  <si>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</si>
  <si>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</si>
  <si>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</si>
  <si>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</si>
  <si>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</si>
  <si>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</si>
  <si>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</si>
  <si>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</si>
  <si>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</si>
  <si>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</si>
  <si>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</si>
  <si>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</si>
  <si>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</si>
  <si>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</si>
  <si>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</si>
  <si>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</si>
  <si>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</si>
  <si>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</si>
  <si>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</si>
  <si>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</si>
  <si>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</si>
  <si>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</si>
  <si>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</si>
  <si>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</si>
  <si>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</si>
  <si>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</si>
  <si>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</si>
  <si>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</si>
  <si>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</si>
  <si>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</si>
  <si>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</si>
  <si>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</si>
  <si>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</si>
  <si>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</si>
  <si>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</si>
  <si>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</si>
  <si>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</si>
  <si>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</si>
  <si>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</si>
  <si>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</si>
  <si>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</si>
  <si>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</si>
  <si>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</si>
  <si>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</si>
  <si>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</si>
  <si>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</si>
  <si>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</si>
  <si>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</si>
  <si>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</si>
  <si>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</si>
  <si>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</si>
  <si>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tilknyttet virksomhed</t>
  </si>
  <si>
    <t>Ingen bortfald eller nedsættelse</t>
  </si>
  <si>
    <t>Ingen engangstillæg</t>
  </si>
  <si>
    <t>Økonomisk ramme for 2024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</si>
  <si>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</si>
  <si>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</si>
  <si>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</si>
  <si>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</si>
  <si>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Afregningsmålere, elektroniske, maksimal gennemstrømning ≤ 4 m3/t</t>
  </si>
  <si>
    <t>10</t>
  </si>
  <si>
    <t>Inspektionsbrønd, Konstruktioner</t>
  </si>
  <si>
    <t>50</t>
  </si>
  <si>
    <t>Inspektionsbrønd, Mek./EL</t>
  </si>
  <si>
    <t>15</t>
  </si>
  <si>
    <t>Ø 50mm &lt; Ledningsnet ≤ Ø110 mm</t>
  </si>
  <si>
    <t>75</t>
  </si>
  <si>
    <t>Stik på ledningsnet, Konstruktioner</t>
  </si>
  <si>
    <t>Stik på ledningsnet, Mek./EL</t>
  </si>
  <si>
    <t>Ventiler på Ø 50mm &lt; Ledningsnet ≤ Ø110 mm</t>
  </si>
  <si>
    <t>Ventiler på Ø110 mm &lt; Ledningsnet ≤ Ø 250 mm</t>
  </si>
  <si>
    <t>Ø110 mm &lt; Ledningsnet ≤ Ø 250 mm</t>
  </si>
  <si>
    <t>Boring (inkl. etablering, forerør, filter og prøvepumpning)</t>
  </si>
  <si>
    <t>30</t>
  </si>
  <si>
    <t>Etageareal vandbehandlingsbygning</t>
  </si>
  <si>
    <t>Filteranlæg, åbne filtre, enkelt filtrering, Mek./EL</t>
  </si>
  <si>
    <t>25</t>
  </si>
  <si>
    <t>Ledningsnet ≤ Ø50 mm</t>
  </si>
  <si>
    <t>Pumpestation (inkl. evt. hydrofor)/trykforøger, SRO</t>
  </si>
  <si>
    <t>Arbejdsplads</t>
  </si>
  <si>
    <t>5</t>
  </si>
  <si>
    <t>Afregningsmålere, elektroniske, maksimal gennemstrømning &gt; 4 m3/t ≤ 15 m3/t</t>
  </si>
  <si>
    <t>Afregningsmålere, elektroniske, maksimal gennemstrømning &gt; 15 m3/t ≤ 300 m3/t</t>
  </si>
  <si>
    <t>Indvindingsscenarier og monitering til brug af sikring af grundvandsressourcen</t>
  </si>
  <si>
    <t>Yderligere opkrævningsret efter § 17, stk. 10 - 2017</t>
  </si>
  <si>
    <t>Yderligere opkrævningsret efter § 17, stk. 10 - 2018</t>
  </si>
  <si>
    <t>Tillæg for forkert beregnet generelt effektiviseringskrav</t>
  </si>
  <si>
    <t>Ekstraordinært engangskorrektion</t>
  </si>
  <si>
    <t>Enganskorrektion for forkert beregnet generelt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</si>
</sst>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2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2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2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2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2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2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2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2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2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wCuoHq/bgJcG6P/2C9US0G2xgQEvyILMGpfyE6rF365xDW2fda2Q8/nxSGvMFLK+7EU4lZUhB5SwhXoAkfdMA==" saltValue="nnYI5rPxUIkjkRadaKlNiA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140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168</v>
      </c>
      <c r="C8" s="97"/>
      <c r="D8" s="98"/>
      <c r="E8" s="1"/>
      <c r="F8" s="1"/>
    </row>
    <row r="9" spans="1:6" ht="15" customHeight="1" x14ac:dyDescent="0.25">
      <c r="A9" s="1"/>
      <c r="B9" s="41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50" t="s">
        <v>234</v>
      </c>
      <c r="C10" s="9">
        <v>20711637</v>
      </c>
      <c r="D10" s="14" t="s">
        <v>3</v>
      </c>
      <c r="E10" s="1"/>
      <c r="F10" s="1"/>
    </row>
    <row r="11" spans="1:6" ht="15" customHeight="1" x14ac:dyDescent="0.25">
      <c r="A11" s="1"/>
      <c r="B11" s="50" t="s">
        <v>235</v>
      </c>
      <c r="C11" s="9">
        <v>104442</v>
      </c>
      <c r="D11" s="14" t="s">
        <v>3</v>
      </c>
      <c r="E11" s="1"/>
      <c r="F11" s="1"/>
    </row>
    <row r="12" spans="1:6" x14ac:dyDescent="0.25">
      <c r="A12" s="1"/>
      <c r="B12" s="50" t="s">
        <v>236</v>
      </c>
      <c r="C12" s="9">
        <v>10230413</v>
      </c>
      <c r="D12" s="14" t="s">
        <v>3</v>
      </c>
      <c r="E12" s="1"/>
      <c r="F12" s="1"/>
    </row>
    <row r="13" spans="1:6" x14ac:dyDescent="0.25">
      <c r="A13" s="1"/>
      <c r="B13" s="50" t="s">
        <v>237</v>
      </c>
      <c r="C13" s="9">
        <v>46404</v>
      </c>
      <c r="D13" s="14" t="s">
        <v>3</v>
      </c>
      <c r="E13" s="1"/>
      <c r="F13" s="1"/>
    </row>
    <row r="14" spans="1:6" x14ac:dyDescent="0.25">
      <c r="A14" s="1"/>
      <c r="B14" s="50" t="s">
        <v>238</v>
      </c>
      <c r="C14" s="9">
        <v>90879</v>
      </c>
      <c r="D14" s="14" t="s">
        <v>3</v>
      </c>
      <c r="E14" s="1"/>
      <c r="F14" s="1"/>
    </row>
    <row r="15" spans="1:6" x14ac:dyDescent="0.25">
      <c r="A15" s="1"/>
      <c r="B15" s="49" t="s">
        <v>246</v>
      </c>
      <c r="C15" s="9">
        <v>55236.405199272769</v>
      </c>
      <c r="D15" s="14" t="s">
        <v>3</v>
      </c>
      <c r="E15" s="1"/>
      <c r="F15" s="1"/>
    </row>
    <row r="16" spans="1:6" x14ac:dyDescent="0.25">
      <c r="A16" s="1"/>
      <c r="B16" s="46" t="s">
        <v>169</v>
      </c>
      <c r="C16" s="12">
        <f>SUM(C10:C15)</f>
        <v>31239011.405199274</v>
      </c>
      <c r="D16" s="13" t="s">
        <v>3</v>
      </c>
      <c r="E16" s="1"/>
      <c r="F16" s="1"/>
    </row>
    <row r="17" spans="1:6" x14ac:dyDescent="0.25">
      <c r="A17" s="1"/>
      <c r="B17" s="46" t="s">
        <v>170</v>
      </c>
      <c r="C17" s="12">
        <f>C16*(1+'Fane 12. Nøgletal'!C13)^2</f>
        <v>32005892.897943687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vctLjsanXqXFAb+ZWeS9Q0kdaFUlbmGlRJotsGzc7OCfpHhmWU1KST+RW3dFkvxNLOAetYsRsgmuS1XjWlzsxA==" saltValue="FqkJXekOAJDqs//2iEUOg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172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48"/>
      <c r="C5" s="48"/>
      <c r="D5" s="48"/>
      <c r="E5" s="48"/>
      <c r="F5" s="48"/>
      <c r="G5" s="1"/>
    </row>
    <row r="6" spans="1:7" ht="15" customHeight="1" x14ac:dyDescent="0.2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25">
      <c r="A7" s="1"/>
      <c r="B7" s="99" t="s">
        <v>37</v>
      </c>
      <c r="C7" s="100"/>
      <c r="D7" s="101"/>
      <c r="E7" s="9">
        <v>2300462.7400000002</v>
      </c>
      <c r="F7" s="14" t="s">
        <v>3</v>
      </c>
      <c r="G7" s="1"/>
    </row>
    <row r="8" spans="1:7" ht="15" customHeight="1" x14ac:dyDescent="0.25">
      <c r="A8" s="1"/>
      <c r="B8" s="99" t="s">
        <v>38</v>
      </c>
      <c r="C8" s="100"/>
      <c r="D8" s="101"/>
      <c r="E8" s="9">
        <v>-1935022</v>
      </c>
      <c r="F8" s="14" t="s">
        <v>3</v>
      </c>
      <c r="G8" s="1"/>
    </row>
    <row r="9" spans="1:7" ht="15" customHeight="1" x14ac:dyDescent="0.25">
      <c r="A9" s="1"/>
      <c r="B9" s="107" t="s">
        <v>131</v>
      </c>
      <c r="C9" s="108"/>
      <c r="D9" s="109"/>
      <c r="E9" s="10">
        <f>SUM(E7:E8)</f>
        <v>365440.74000000022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0"/>
      <c r="G10" s="1"/>
    </row>
    <row r="11" spans="1:7" ht="28.5" customHeight="1" x14ac:dyDescent="0.25">
      <c r="A11" s="1"/>
      <c r="B11" s="87" t="s">
        <v>132</v>
      </c>
      <c r="C11" s="88"/>
      <c r="D11" s="88"/>
      <c r="E11" s="88"/>
      <c r="F11" s="89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6" t="s">
        <v>116</v>
      </c>
      <c r="C13" s="97"/>
      <c r="D13" s="97"/>
      <c r="E13" s="97"/>
      <c r="F13" s="98"/>
      <c r="G13" s="1"/>
    </row>
    <row r="14" spans="1:7" x14ac:dyDescent="0.25">
      <c r="A14" s="1"/>
      <c r="B14" s="99" t="s">
        <v>117</v>
      </c>
      <c r="C14" s="100"/>
      <c r="D14" s="101"/>
      <c r="E14" s="9">
        <v>53265660.427044928</v>
      </c>
      <c r="F14" s="14" t="s">
        <v>3</v>
      </c>
      <c r="G14" s="1"/>
    </row>
    <row r="15" spans="1:7" x14ac:dyDescent="0.25">
      <c r="A15" s="1"/>
      <c r="B15" s="99" t="s">
        <v>118</v>
      </c>
      <c r="C15" s="100"/>
      <c r="D15" s="101"/>
      <c r="E15" s="9">
        <v>51479375</v>
      </c>
      <c r="F15" s="14" t="s">
        <v>3</v>
      </c>
      <c r="G15" s="1"/>
    </row>
    <row r="16" spans="1:7" x14ac:dyDescent="0.2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25">
      <c r="A17" s="1"/>
      <c r="B17" s="107" t="s">
        <v>208</v>
      </c>
      <c r="C17" s="108"/>
      <c r="D17" s="109"/>
      <c r="E17" s="10">
        <f>E14-(E15-E16)</f>
        <v>1786285.4270449281</v>
      </c>
      <c r="F17" s="17" t="s">
        <v>3</v>
      </c>
      <c r="G17" s="1"/>
    </row>
    <row r="18" spans="1:7" x14ac:dyDescent="0.25">
      <c r="A18" s="1"/>
      <c r="B18" s="46"/>
      <c r="C18" s="47"/>
      <c r="D18" s="47"/>
      <c r="E18" s="47"/>
      <c r="F18" s="20"/>
      <c r="G18" s="1"/>
    </row>
    <row r="19" spans="1:7" ht="30" customHeight="1" x14ac:dyDescent="0.25">
      <c r="A19" s="1"/>
      <c r="B19" s="87" t="s">
        <v>133</v>
      </c>
      <c r="C19" s="88"/>
      <c r="D19" s="88"/>
      <c r="E19" s="88"/>
      <c r="F19" s="89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6" t="s">
        <v>50</v>
      </c>
      <c r="C21" s="97"/>
      <c r="D21" s="97"/>
      <c r="E21" s="97"/>
      <c r="F21" s="98"/>
      <c r="G21" s="1"/>
    </row>
    <row r="22" spans="1:7" x14ac:dyDescent="0.25">
      <c r="A22" s="1"/>
      <c r="B22" s="99" t="s">
        <v>51</v>
      </c>
      <c r="C22" s="100"/>
      <c r="D22" s="101"/>
      <c r="E22" s="9">
        <v>57593193.393747211</v>
      </c>
      <c r="F22" s="14" t="s">
        <v>3</v>
      </c>
      <c r="G22" s="1"/>
    </row>
    <row r="23" spans="1:7" x14ac:dyDescent="0.25">
      <c r="A23" s="1"/>
      <c r="B23" s="99" t="s">
        <v>52</v>
      </c>
      <c r="C23" s="100"/>
      <c r="D23" s="101"/>
      <c r="E23" s="9">
        <v>58160762</v>
      </c>
      <c r="F23" s="14" t="s">
        <v>3</v>
      </c>
      <c r="G23" s="1"/>
    </row>
    <row r="24" spans="1:7" x14ac:dyDescent="0.25">
      <c r="A24" s="1"/>
      <c r="B24" s="99" t="s">
        <v>36</v>
      </c>
      <c r="C24" s="100"/>
      <c r="D24" s="101"/>
      <c r="E24" s="9">
        <v>326655</v>
      </c>
      <c r="F24" s="14" t="s">
        <v>3</v>
      </c>
      <c r="G24" s="1"/>
    </row>
    <row r="25" spans="1:7" x14ac:dyDescent="0.25">
      <c r="A25" s="1"/>
      <c r="B25" s="107" t="s">
        <v>209</v>
      </c>
      <c r="C25" s="108"/>
      <c r="D25" s="109"/>
      <c r="E25" s="10">
        <f>E22-(E23-E24)</f>
        <v>-240913.6062527895</v>
      </c>
      <c r="F25" s="17" t="s">
        <v>3</v>
      </c>
      <c r="G25" s="1"/>
    </row>
    <row r="26" spans="1:7" x14ac:dyDescent="0.25">
      <c r="A26" s="1"/>
      <c r="B26" s="46"/>
      <c r="C26" s="47"/>
      <c r="D26" s="47"/>
      <c r="E26" s="47"/>
      <c r="F26" s="20"/>
      <c r="G26" s="1"/>
    </row>
    <row r="27" spans="1:7" ht="28.5" customHeight="1" x14ac:dyDescent="0.25">
      <c r="A27" s="1"/>
      <c r="B27" s="87" t="s">
        <v>179</v>
      </c>
      <c r="C27" s="88"/>
      <c r="D27" s="88"/>
      <c r="E27" s="88"/>
      <c r="F27" s="89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200</v>
      </c>
      <c r="C29" s="97"/>
      <c r="D29" s="97"/>
      <c r="E29" s="97"/>
      <c r="F29" s="98"/>
      <c r="G29" s="1"/>
    </row>
    <row r="30" spans="1:7" x14ac:dyDescent="0.25">
      <c r="A30" s="1"/>
      <c r="B30" s="99" t="s">
        <v>201</v>
      </c>
      <c r="C30" s="100"/>
      <c r="D30" s="101"/>
      <c r="E30" s="9">
        <v>59661876.761160508</v>
      </c>
      <c r="F30" s="14" t="s">
        <v>3</v>
      </c>
      <c r="G30" s="1"/>
    </row>
    <row r="31" spans="1:7" x14ac:dyDescent="0.25">
      <c r="A31" s="1"/>
      <c r="B31" s="99" t="s">
        <v>202</v>
      </c>
      <c r="C31" s="100"/>
      <c r="D31" s="101"/>
      <c r="E31" s="9">
        <v>54468062</v>
      </c>
      <c r="F31" s="14" t="s">
        <v>3</v>
      </c>
      <c r="G31" s="1"/>
    </row>
    <row r="32" spans="1:7" x14ac:dyDescent="0.2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25">
      <c r="A33" s="1"/>
      <c r="B33" s="107" t="s">
        <v>210</v>
      </c>
      <c r="C33" s="108"/>
      <c r="D33" s="109"/>
      <c r="E33" s="10">
        <f>E30-(E31-E32)</f>
        <v>5193814.7611605078</v>
      </c>
      <c r="F33" s="17" t="s">
        <v>3</v>
      </c>
      <c r="G33" s="1"/>
    </row>
    <row r="34" spans="1:7" x14ac:dyDescent="0.25">
      <c r="A34" s="1"/>
      <c r="B34" s="46"/>
      <c r="C34" s="47"/>
      <c r="D34" s="47"/>
      <c r="E34" s="47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6" t="s">
        <v>125</v>
      </c>
      <c r="C36" s="97"/>
      <c r="D36" s="97"/>
      <c r="E36" s="97"/>
      <c r="F36" s="98"/>
      <c r="G36" s="1"/>
    </row>
    <row r="37" spans="1:7" x14ac:dyDescent="0.25">
      <c r="A37" s="1"/>
      <c r="B37" s="110" t="s">
        <v>272</v>
      </c>
      <c r="C37" s="111"/>
      <c r="D37" s="112"/>
      <c r="E37" s="9">
        <v>1</v>
      </c>
      <c r="F37" s="14"/>
      <c r="G37" s="1"/>
    </row>
    <row r="38" spans="1:7" x14ac:dyDescent="0.25">
      <c r="A38" s="1"/>
      <c r="B38" s="110" t="s">
        <v>273</v>
      </c>
      <c r="C38" s="111"/>
      <c r="D38" s="112"/>
      <c r="E38" s="9">
        <v>0</v>
      </c>
      <c r="F38" s="14"/>
      <c r="G38" s="1"/>
    </row>
    <row r="39" spans="1:7" x14ac:dyDescent="0.2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2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25">
      <c r="A41" s="1"/>
      <c r="B41" s="113" t="s">
        <v>203</v>
      </c>
      <c r="C41" s="113"/>
      <c r="D41" s="113"/>
      <c r="E41" s="10">
        <f>E39/E40</f>
        <v>0</v>
      </c>
      <c r="F41" s="17" t="s">
        <v>3</v>
      </c>
      <c r="G41" s="1"/>
    </row>
    <row r="42" spans="1:7" x14ac:dyDescent="0.25">
      <c r="A42" s="1"/>
      <c r="B42" s="96"/>
      <c r="C42" s="97"/>
      <c r="D42" s="97"/>
      <c r="E42" s="97"/>
      <c r="F42" s="98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84L7uxi1lCXNQkQtomSYWZRXzD4E93aocwdcxYLLO2GuTLIgtBebfQrgvdKC3cf9TwW44gAB/3W8nA9nIYpupQ==" saltValue="ZK+GuD8J/MgVIFybJ2fOTw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7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ht="39" x14ac:dyDescent="0.25">
      <c r="A10" s="1"/>
      <c r="B10" s="53" t="s">
        <v>247</v>
      </c>
      <c r="C10" s="54" t="s">
        <v>248</v>
      </c>
      <c r="D10" s="9">
        <v>552163</v>
      </c>
      <c r="E10" s="9">
        <f>IFERROR(D10/C10,0)</f>
        <v>55216.3</v>
      </c>
      <c r="F10" s="9">
        <v>0</v>
      </c>
      <c r="G10" s="9">
        <v>24445</v>
      </c>
      <c r="H10" s="14" t="s">
        <v>3</v>
      </c>
      <c r="I10" s="1"/>
    </row>
    <row r="11" spans="1:9" ht="26.25" x14ac:dyDescent="0.25">
      <c r="A11" s="1"/>
      <c r="B11" s="53" t="s">
        <v>249</v>
      </c>
      <c r="C11" s="54" t="s">
        <v>250</v>
      </c>
      <c r="D11" s="9">
        <v>9200</v>
      </c>
      <c r="E11" s="9">
        <f t="shared" ref="E11:E32" si="0">IFERROR(D11/C11,0)</f>
        <v>184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3" t="s">
        <v>251</v>
      </c>
      <c r="C12" s="54" t="s">
        <v>252</v>
      </c>
      <c r="D12" s="9">
        <v>20546</v>
      </c>
      <c r="E12" s="9">
        <f t="shared" si="0"/>
        <v>1369.7333333333333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3" t="s">
        <v>253</v>
      </c>
      <c r="C13" s="54" t="s">
        <v>254</v>
      </c>
      <c r="D13" s="9">
        <v>176785</v>
      </c>
      <c r="E13" s="9">
        <f t="shared" si="0"/>
        <v>2357.1333333333332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53" t="s">
        <v>255</v>
      </c>
      <c r="C14" s="54" t="s">
        <v>254</v>
      </c>
      <c r="D14" s="9">
        <v>550922</v>
      </c>
      <c r="E14" s="9">
        <f t="shared" si="0"/>
        <v>7345.626666666667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53" t="s">
        <v>256</v>
      </c>
      <c r="C15" s="54" t="s">
        <v>254</v>
      </c>
      <c r="D15" s="9">
        <v>550922</v>
      </c>
      <c r="E15" s="9">
        <f t="shared" si="0"/>
        <v>7345.626666666667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53" t="s">
        <v>257</v>
      </c>
      <c r="C16" s="54" t="s">
        <v>254</v>
      </c>
      <c r="D16" s="9">
        <v>48751</v>
      </c>
      <c r="E16" s="9">
        <f t="shared" si="0"/>
        <v>650.01333333333332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53" t="s">
        <v>258</v>
      </c>
      <c r="C17" s="54" t="s">
        <v>254</v>
      </c>
      <c r="D17" s="9">
        <v>22823</v>
      </c>
      <c r="E17" s="9">
        <f t="shared" si="0"/>
        <v>304.30666666666667</v>
      </c>
      <c r="F17" s="9">
        <v>0</v>
      </c>
      <c r="G17" s="9">
        <v>0</v>
      </c>
      <c r="H17" s="14" t="s">
        <v>3</v>
      </c>
      <c r="I17" s="1"/>
    </row>
    <row r="18" spans="1:9" ht="26.25" x14ac:dyDescent="0.25">
      <c r="A18" s="1"/>
      <c r="B18" s="53" t="s">
        <v>253</v>
      </c>
      <c r="C18" s="54" t="s">
        <v>254</v>
      </c>
      <c r="D18" s="9">
        <v>1486102</v>
      </c>
      <c r="E18" s="9">
        <f t="shared" si="0"/>
        <v>19814.693333333333</v>
      </c>
      <c r="F18" s="9">
        <v>0</v>
      </c>
      <c r="G18" s="9">
        <v>122545</v>
      </c>
      <c r="H18" s="14" t="s">
        <v>3</v>
      </c>
      <c r="I18" s="1"/>
    </row>
    <row r="19" spans="1:9" ht="26.25" x14ac:dyDescent="0.25">
      <c r="A19" s="1"/>
      <c r="B19" s="53" t="s">
        <v>259</v>
      </c>
      <c r="C19" s="54" t="s">
        <v>254</v>
      </c>
      <c r="D19" s="9">
        <v>206525</v>
      </c>
      <c r="E19" s="9">
        <f t="shared" si="0"/>
        <v>2753.6666666666665</v>
      </c>
      <c r="F19" s="9">
        <v>0</v>
      </c>
      <c r="G19" s="9">
        <v>0</v>
      </c>
      <c r="H19" s="14" t="s">
        <v>3</v>
      </c>
      <c r="I19" s="1"/>
    </row>
    <row r="20" spans="1:9" ht="39" x14ac:dyDescent="0.25">
      <c r="A20" s="1"/>
      <c r="B20" s="53" t="s">
        <v>260</v>
      </c>
      <c r="C20" s="54" t="s">
        <v>261</v>
      </c>
      <c r="D20" s="9">
        <v>0</v>
      </c>
      <c r="E20" s="9">
        <f t="shared" si="0"/>
        <v>0</v>
      </c>
      <c r="F20" s="9">
        <v>111657</v>
      </c>
      <c r="G20" s="9">
        <v>0</v>
      </c>
      <c r="H20" s="14" t="s">
        <v>3</v>
      </c>
      <c r="I20" s="1"/>
    </row>
    <row r="21" spans="1:9" ht="26.25" x14ac:dyDescent="0.25">
      <c r="A21" s="1"/>
      <c r="B21" s="53" t="s">
        <v>262</v>
      </c>
      <c r="C21" s="54" t="s">
        <v>254</v>
      </c>
      <c r="D21" s="9">
        <v>0</v>
      </c>
      <c r="E21" s="9">
        <f t="shared" si="0"/>
        <v>0</v>
      </c>
      <c r="F21" s="9">
        <v>293445</v>
      </c>
      <c r="G21" s="9">
        <v>0</v>
      </c>
      <c r="H21" s="14" t="s">
        <v>3</v>
      </c>
      <c r="I21" s="1"/>
    </row>
    <row r="22" spans="1:9" ht="26.25" x14ac:dyDescent="0.25">
      <c r="A22" s="1"/>
      <c r="B22" s="53" t="s">
        <v>263</v>
      </c>
      <c r="C22" s="54" t="s">
        <v>264</v>
      </c>
      <c r="D22" s="9">
        <v>105956</v>
      </c>
      <c r="E22" s="9">
        <f t="shared" si="0"/>
        <v>4238.24</v>
      </c>
      <c r="F22" s="9">
        <v>0</v>
      </c>
      <c r="G22" s="9">
        <v>0</v>
      </c>
      <c r="H22" s="14" t="s">
        <v>3</v>
      </c>
      <c r="I22" s="1"/>
    </row>
    <row r="23" spans="1:9" x14ac:dyDescent="0.25">
      <c r="A23" s="1"/>
      <c r="B23" s="53" t="s">
        <v>251</v>
      </c>
      <c r="C23" s="54" t="s">
        <v>252</v>
      </c>
      <c r="D23" s="9">
        <v>98219</v>
      </c>
      <c r="E23" s="9">
        <f t="shared" si="0"/>
        <v>6547.9333333333334</v>
      </c>
      <c r="F23" s="9">
        <v>0</v>
      </c>
      <c r="G23" s="9">
        <v>0</v>
      </c>
      <c r="H23" s="14" t="s">
        <v>3</v>
      </c>
      <c r="I23" s="1"/>
    </row>
    <row r="24" spans="1:9" x14ac:dyDescent="0.25">
      <c r="A24" s="1"/>
      <c r="B24" s="53" t="s">
        <v>265</v>
      </c>
      <c r="C24" s="54" t="s">
        <v>254</v>
      </c>
      <c r="D24" s="9">
        <v>43793</v>
      </c>
      <c r="E24" s="9">
        <f t="shared" si="0"/>
        <v>583.90666666666664</v>
      </c>
      <c r="F24" s="9">
        <v>0</v>
      </c>
      <c r="G24" s="9">
        <v>0</v>
      </c>
      <c r="H24" s="14" t="s">
        <v>3</v>
      </c>
      <c r="I24" s="1"/>
    </row>
    <row r="25" spans="1:9" ht="26.25" x14ac:dyDescent="0.25">
      <c r="A25" s="1"/>
      <c r="B25" s="53" t="s">
        <v>266</v>
      </c>
      <c r="C25" s="54" t="s">
        <v>248</v>
      </c>
      <c r="D25" s="9">
        <v>21000</v>
      </c>
      <c r="E25" s="9">
        <f t="shared" si="0"/>
        <v>2100</v>
      </c>
      <c r="F25" s="9">
        <v>0</v>
      </c>
      <c r="G25" s="9">
        <v>0</v>
      </c>
      <c r="H25" s="14" t="s">
        <v>3</v>
      </c>
      <c r="I25" s="1"/>
    </row>
    <row r="26" spans="1:9" ht="26.25" x14ac:dyDescent="0.25">
      <c r="A26" s="1"/>
      <c r="B26" s="53" t="s">
        <v>255</v>
      </c>
      <c r="C26" s="54" t="s">
        <v>254</v>
      </c>
      <c r="D26" s="9">
        <v>76347</v>
      </c>
      <c r="E26" s="9">
        <f t="shared" si="0"/>
        <v>1017.96</v>
      </c>
      <c r="F26" s="9">
        <v>0</v>
      </c>
      <c r="G26" s="9">
        <v>0</v>
      </c>
      <c r="H26" s="14" t="s">
        <v>3</v>
      </c>
      <c r="I26" s="1"/>
    </row>
    <row r="27" spans="1:9" ht="26.25" x14ac:dyDescent="0.25">
      <c r="A27" s="1"/>
      <c r="B27" s="53" t="s">
        <v>256</v>
      </c>
      <c r="C27" s="54" t="s">
        <v>254</v>
      </c>
      <c r="D27" s="9">
        <v>76347</v>
      </c>
      <c r="E27" s="9">
        <f t="shared" si="0"/>
        <v>1017.96</v>
      </c>
      <c r="F27" s="9">
        <v>0</v>
      </c>
      <c r="G27" s="9">
        <v>0</v>
      </c>
      <c r="H27" s="14" t="s">
        <v>3</v>
      </c>
      <c r="I27" s="1"/>
    </row>
    <row r="28" spans="1:9" ht="26.25" x14ac:dyDescent="0.25">
      <c r="A28" s="1"/>
      <c r="B28" s="53" t="s">
        <v>253</v>
      </c>
      <c r="C28" s="54" t="s">
        <v>254</v>
      </c>
      <c r="D28" s="9">
        <v>410887</v>
      </c>
      <c r="E28" s="9">
        <f t="shared" si="0"/>
        <v>5478.4933333333329</v>
      </c>
      <c r="F28" s="9">
        <v>0</v>
      </c>
      <c r="G28" s="9">
        <v>33205</v>
      </c>
      <c r="H28" s="14" t="s">
        <v>3</v>
      </c>
      <c r="I28" s="1"/>
    </row>
    <row r="29" spans="1:9" ht="39" x14ac:dyDescent="0.25">
      <c r="A29" s="1"/>
      <c r="B29" s="53" t="s">
        <v>247</v>
      </c>
      <c r="C29" s="54" t="s">
        <v>248</v>
      </c>
      <c r="D29" s="9">
        <v>560727</v>
      </c>
      <c r="E29" s="9">
        <f t="shared" si="0"/>
        <v>56072.7</v>
      </c>
      <c r="F29" s="9">
        <v>0</v>
      </c>
      <c r="G29" s="9">
        <v>22364</v>
      </c>
      <c r="H29" s="14" t="s">
        <v>3</v>
      </c>
      <c r="I29" s="1"/>
    </row>
    <row r="30" spans="1:9" ht="26.25" x14ac:dyDescent="0.25">
      <c r="A30" s="1"/>
      <c r="B30" s="53" t="s">
        <v>253</v>
      </c>
      <c r="C30" s="54" t="s">
        <v>254</v>
      </c>
      <c r="D30" s="9">
        <v>83529</v>
      </c>
      <c r="E30" s="9">
        <f t="shared" si="0"/>
        <v>1113.72</v>
      </c>
      <c r="F30" s="9">
        <v>0</v>
      </c>
      <c r="G30" s="9">
        <v>3331</v>
      </c>
      <c r="H30" s="14" t="s">
        <v>3</v>
      </c>
      <c r="I30" s="1"/>
    </row>
    <row r="31" spans="1:9" x14ac:dyDescent="0.25">
      <c r="A31" s="1"/>
      <c r="B31" s="53" t="s">
        <v>267</v>
      </c>
      <c r="C31" s="54" t="s">
        <v>268</v>
      </c>
      <c r="D31" s="9">
        <v>52064</v>
      </c>
      <c r="E31" s="9">
        <f t="shared" si="0"/>
        <v>10412.799999999999</v>
      </c>
      <c r="F31" s="9">
        <v>0</v>
      </c>
      <c r="G31" s="9">
        <v>2076</v>
      </c>
      <c r="H31" s="14" t="s">
        <v>3</v>
      </c>
      <c r="I31" s="1"/>
    </row>
    <row r="32" spans="1:9" ht="51.75" x14ac:dyDescent="0.25">
      <c r="A32" s="1"/>
      <c r="B32" s="53" t="s">
        <v>269</v>
      </c>
      <c r="C32" s="54" t="s">
        <v>248</v>
      </c>
      <c r="D32" s="9">
        <v>30760</v>
      </c>
      <c r="E32" s="9">
        <f t="shared" si="0"/>
        <v>3076</v>
      </c>
      <c r="F32" s="9">
        <v>0</v>
      </c>
      <c r="G32" s="9">
        <v>0</v>
      </c>
      <c r="H32" s="14" t="s">
        <v>3</v>
      </c>
      <c r="I32" s="1"/>
    </row>
    <row r="33" spans="1:9" ht="51.75" x14ac:dyDescent="0.25">
      <c r="A33" s="1"/>
      <c r="B33" s="53" t="s">
        <v>270</v>
      </c>
      <c r="C33" s="54" t="s">
        <v>248</v>
      </c>
      <c r="D33" s="9">
        <v>30000</v>
      </c>
      <c r="E33" s="9">
        <f t="shared" ref="E33:E34" si="1">IFERROR(D33/C33,0)</f>
        <v>3000</v>
      </c>
      <c r="F33" s="9">
        <v>0</v>
      </c>
      <c r="G33" s="9">
        <v>0</v>
      </c>
      <c r="H33" s="14" t="s">
        <v>3</v>
      </c>
      <c r="I33" s="1"/>
    </row>
    <row r="34" spans="1:9" ht="51.75" x14ac:dyDescent="0.25">
      <c r="A34" s="1"/>
      <c r="B34" s="53" t="s">
        <v>271</v>
      </c>
      <c r="C34" s="54" t="s">
        <v>248</v>
      </c>
      <c r="D34" s="9">
        <v>1028644</v>
      </c>
      <c r="E34" s="9">
        <f t="shared" si="1"/>
        <v>102864.4</v>
      </c>
      <c r="F34" s="9">
        <v>0</v>
      </c>
      <c r="G34" s="9">
        <v>41026</v>
      </c>
      <c r="H34" s="14" t="s">
        <v>3</v>
      </c>
      <c r="I34" s="1"/>
    </row>
    <row r="35" spans="1:9" x14ac:dyDescent="0.25">
      <c r="A35" s="1"/>
      <c r="B35" s="96" t="s">
        <v>198</v>
      </c>
      <c r="C35" s="97"/>
      <c r="D35" s="98"/>
      <c r="E35" s="12">
        <f>SUM(E10:E34)</f>
        <v>294865.21333333332</v>
      </c>
      <c r="F35" s="12">
        <f t="shared" ref="F35:G35" si="2">SUM(F10:F34)</f>
        <v>405102</v>
      </c>
      <c r="G35" s="12">
        <f t="shared" si="2"/>
        <v>248992</v>
      </c>
      <c r="H35" s="13" t="s">
        <v>3</v>
      </c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</sheetData>
  <sheetProtection algorithmName="SHA-512" hashValue="bzfK3RT1NsdPK78KV9cTHU7BAjBHALTWpLygwM9YGnaykaLTZEkPM9MnCDNR1xuo7Sga3moTlHf1D0oL7sqsvA==" saltValue="bgrcY0S7ST6LdmUrKxWjOQ==" spinCount="100000" sheet="1" objects="1" scenarios="1"/>
  <mergeCells count="3">
    <mergeCell ref="B3:H4"/>
    <mergeCell ref="B35:D35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94</v>
      </c>
      <c r="C8" s="47"/>
      <c r="D8" s="47"/>
      <c r="E8" s="47"/>
      <c r="F8" s="20"/>
      <c r="G8" s="1"/>
    </row>
    <row r="9" spans="1:7" ht="17.25" customHeight="1" x14ac:dyDescent="0.25">
      <c r="A9" s="1"/>
      <c r="B9" s="44" t="s">
        <v>16</v>
      </c>
      <c r="C9" s="44" t="s">
        <v>11</v>
      </c>
      <c r="D9" s="45"/>
      <c r="E9" s="44" t="s">
        <v>34</v>
      </c>
      <c r="F9" s="43"/>
      <c r="G9" s="1"/>
    </row>
    <row r="10" spans="1:7" x14ac:dyDescent="0.25">
      <c r="A10" s="1"/>
      <c r="B10" s="25" t="s">
        <v>44</v>
      </c>
      <c r="C10" s="22">
        <f>'Fane 8. Anlægsprojekter'!F35</f>
        <v>405102</v>
      </c>
      <c r="D10" s="14" t="s">
        <v>3</v>
      </c>
      <c r="E10" s="9">
        <f>SUM('Fane 8. Anlægsprojekter'!E35,'Fane 8. Anlægsprojekter'!G35)</f>
        <v>543857.21333333338</v>
      </c>
      <c r="F10" s="14" t="s">
        <v>3</v>
      </c>
      <c r="G10" s="1"/>
    </row>
    <row r="11" spans="1:7" x14ac:dyDescent="0.25">
      <c r="A11" s="1"/>
      <c r="B11" s="46" t="s">
        <v>48</v>
      </c>
      <c r="C11" s="12">
        <f>SUM(C10:C10)</f>
        <v>405102</v>
      </c>
      <c r="D11" s="13" t="s">
        <v>3</v>
      </c>
      <c r="E11" s="12">
        <f>SUM(E10:E10)</f>
        <v>543857.21333333338</v>
      </c>
      <c r="F11" s="13" t="s">
        <v>3</v>
      </c>
      <c r="G11" s="1"/>
    </row>
    <row r="12" spans="1:7" x14ac:dyDescent="0.25">
      <c r="A12" s="1"/>
      <c r="B12" s="46" t="s">
        <v>173</v>
      </c>
      <c r="C12" s="12">
        <f>C11*(1+'Fane 12. Nøgletal'!C13)</f>
        <v>410044.24439999997</v>
      </c>
      <c r="D12" s="13" t="s">
        <v>3</v>
      </c>
      <c r="E12" s="12">
        <f>E11*(1+'Fane 12. Nøgletal'!C13)</f>
        <v>550492.27133600006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WmonhX9rtojUgjLRG222iyi78jsy82ceXg/BQ3RLetbes9P8jGylXooAJLqIV/6UklZ813QUl1snNjLhV+Z2gg==" saltValue="tZ8EOYbrgz6VsyTn7f6Eg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119</v>
      </c>
      <c r="C8" s="97"/>
      <c r="D8" s="97"/>
      <c r="E8" s="97"/>
      <c r="F8" s="98"/>
      <c r="G8" s="1"/>
    </row>
    <row r="9" spans="1:7" x14ac:dyDescent="0.25">
      <c r="A9" s="1"/>
      <c r="B9" s="44" t="s">
        <v>16</v>
      </c>
      <c r="C9" s="44" t="s">
        <v>11</v>
      </c>
      <c r="D9" s="45"/>
      <c r="E9" s="44" t="s">
        <v>34</v>
      </c>
      <c r="F9" s="43"/>
      <c r="G9" s="1"/>
    </row>
    <row r="10" spans="1:7" x14ac:dyDescent="0.2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6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120</v>
      </c>
      <c r="C16" s="97"/>
      <c r="D16" s="97"/>
      <c r="E16" s="97"/>
      <c r="F16" s="98"/>
      <c r="G16" s="1"/>
    </row>
    <row r="17" spans="1:7" x14ac:dyDescent="0.25">
      <c r="A17" s="1"/>
      <c r="B17" s="44" t="s">
        <v>16</v>
      </c>
      <c r="C17" s="44" t="s">
        <v>11</v>
      </c>
      <c r="D17" s="45"/>
      <c r="E17" s="44" t="s">
        <v>34</v>
      </c>
      <c r="F17" s="43"/>
      <c r="G17" s="1"/>
    </row>
    <row r="18" spans="1:7" x14ac:dyDescent="0.2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6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121</v>
      </c>
      <c r="C24" s="97"/>
      <c r="D24" s="97"/>
      <c r="E24" s="97"/>
      <c r="F24" s="98"/>
      <c r="G24" s="1"/>
    </row>
    <row r="25" spans="1:7" x14ac:dyDescent="0.25">
      <c r="A25" s="1"/>
      <c r="B25" s="44" t="s">
        <v>16</v>
      </c>
      <c r="C25" s="44" t="s">
        <v>11</v>
      </c>
      <c r="D25" s="45"/>
      <c r="E25" s="44" t="s">
        <v>34</v>
      </c>
      <c r="F25" s="43"/>
      <c r="G25" s="1"/>
    </row>
    <row r="26" spans="1:7" x14ac:dyDescent="0.2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6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176</v>
      </c>
      <c r="C32" s="97"/>
      <c r="D32" s="97"/>
      <c r="E32" s="97"/>
      <c r="F32" s="98"/>
      <c r="G32" s="1"/>
    </row>
    <row r="33" spans="1:7" x14ac:dyDescent="0.25">
      <c r="A33" s="1"/>
      <c r="B33" s="44" t="s">
        <v>16</v>
      </c>
      <c r="C33" s="44" t="s">
        <v>11</v>
      </c>
      <c r="D33" s="45"/>
      <c r="E33" s="44" t="s">
        <v>34</v>
      </c>
      <c r="F33" s="43"/>
      <c r="G33" s="1"/>
    </row>
    <row r="34" spans="1:7" x14ac:dyDescent="0.2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6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4lF8r0Bwonly5HIAWNonR+DgeHWdAz1BxmBrcX8+r6l38VeJE+FVOSGp7BuNwc6oOLco8LTEBDgBTrCMgCKY9Q==" saltValue="T62aU8zqvKiJls6sg/uKN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25">
      <c r="A9" s="1"/>
      <c r="B9" s="42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bhFP/2LwO/RzD98cRcakpTYuKRbHQ8cRe/eKonE3tmm+WnMPOMmaWLNsIvl5JH8QbkvkM3cMhxRF3UaTXUojrg==" saltValue="bdzsRsqnU9FlRr0BpJihe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2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6" t="s">
        <v>110</v>
      </c>
      <c r="C15" s="97"/>
      <c r="D15" s="97"/>
      <c r="E15" s="97"/>
      <c r="F15" s="98"/>
      <c r="G15" s="1"/>
    </row>
    <row r="16" spans="1:7" ht="26.25" x14ac:dyDescent="0.2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2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6" t="s">
        <v>112</v>
      </c>
      <c r="C22" s="97"/>
      <c r="D22" s="97"/>
      <c r="E22" s="97"/>
      <c r="F22" s="98"/>
      <c r="G22" s="1"/>
    </row>
    <row r="23" spans="1:7" ht="26.25" x14ac:dyDescent="0.2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2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182</v>
      </c>
      <c r="C29" s="97"/>
      <c r="D29" s="97"/>
      <c r="E29" s="97"/>
      <c r="F29" s="98"/>
      <c r="G29" s="1"/>
    </row>
    <row r="30" spans="1:7" ht="26.25" x14ac:dyDescent="0.2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2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M9Nf/s7amsKp3t5JBz7RYJKYeBMQCvaQpTWHyEz337lXTBNBfuMWeDb0GlqbJmbnPJShIrQ2GWxLRWWVLYAZEg==" saltValue="QFABh+TS5JW7jfOoMseu4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211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14</v>
      </c>
      <c r="C8" s="20"/>
      <c r="D8" s="1"/>
    </row>
    <row r="9" spans="1:4" x14ac:dyDescent="0.25">
      <c r="A9" s="1"/>
      <c r="B9" s="50" t="s">
        <v>141</v>
      </c>
      <c r="C9" s="26">
        <v>1.2699999999999999E-2</v>
      </c>
      <c r="D9" s="1"/>
    </row>
    <row r="10" spans="1:4" x14ac:dyDescent="0.25">
      <c r="A10" s="1"/>
      <c r="B10" s="50" t="s">
        <v>22</v>
      </c>
      <c r="C10" s="26">
        <v>1.7500000000000002E-2</v>
      </c>
      <c r="D10" s="1"/>
    </row>
    <row r="11" spans="1:4" x14ac:dyDescent="0.25">
      <c r="A11" s="1"/>
      <c r="B11" s="50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6"/>
      <c r="C14" s="98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6" t="s">
        <v>126</v>
      </c>
      <c r="C17" s="20"/>
      <c r="D17" s="1"/>
    </row>
    <row r="18" spans="1:4" x14ac:dyDescent="0.25">
      <c r="A18" s="1"/>
      <c r="B18" s="50" t="s">
        <v>143</v>
      </c>
      <c r="C18" s="23">
        <v>9.1000000000000004E-3</v>
      </c>
      <c r="D18" s="1"/>
    </row>
    <row r="19" spans="1:4" x14ac:dyDescent="0.25">
      <c r="A19" s="1"/>
      <c r="B19" s="50" t="s">
        <v>144</v>
      </c>
      <c r="C19" s="23">
        <v>1.77E-2</v>
      </c>
      <c r="D19" s="1"/>
    </row>
    <row r="20" spans="1:4" x14ac:dyDescent="0.25">
      <c r="A20" s="1"/>
      <c r="B20" s="50" t="s">
        <v>145</v>
      </c>
      <c r="C20" s="23">
        <v>8.6999999999999994E-3</v>
      </c>
      <c r="D20" s="1"/>
    </row>
    <row r="21" spans="1:4" x14ac:dyDescent="0.25">
      <c r="A21" s="1"/>
      <c r="B21" s="50" t="s">
        <v>146</v>
      </c>
      <c r="C21" s="36">
        <v>2.8400000000000002E-2</v>
      </c>
      <c r="D21" s="1"/>
    </row>
    <row r="22" spans="1:4" x14ac:dyDescent="0.25">
      <c r="A22" s="1"/>
      <c r="B22" s="50" t="s">
        <v>186</v>
      </c>
      <c r="C22" s="36">
        <v>2.75E-2</v>
      </c>
      <c r="D22" s="1"/>
    </row>
    <row r="23" spans="1:4" x14ac:dyDescent="0.25">
      <c r="A23" s="1"/>
      <c r="B23" s="46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6" t="s">
        <v>127</v>
      </c>
      <c r="C26" s="20"/>
      <c r="D26" s="1"/>
    </row>
    <row r="27" spans="1:4" x14ac:dyDescent="0.25">
      <c r="A27" s="1"/>
      <c r="B27" s="50" t="s">
        <v>147</v>
      </c>
      <c r="C27" s="26">
        <v>0.02</v>
      </c>
      <c r="D27" s="1"/>
    </row>
    <row r="28" spans="1:4" x14ac:dyDescent="0.25">
      <c r="A28" s="1"/>
      <c r="B28" s="46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883MUtizqXFZms17S0VHEWx79ZwcrUUiU9Cumklrle8DQQPGuBQEoX4kPKoujEmvbkVxKl0ssi+wQcut4cNdUQ==" saltValue="Vtza7JaUgRPfCe7ylByumA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161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13</v>
      </c>
      <c r="C8" s="47"/>
      <c r="D8" s="20"/>
      <c r="E8" s="1"/>
    </row>
    <row r="9" spans="1:5" x14ac:dyDescent="0.25">
      <c r="A9" s="1"/>
      <c r="B9" s="49" t="s">
        <v>25</v>
      </c>
      <c r="C9" s="7">
        <f>'Fane 3. Omkostninger i ØR2020'!E21</f>
        <v>27669776.595982354</v>
      </c>
      <c r="D9" s="8" t="s">
        <v>3</v>
      </c>
      <c r="E9" s="1"/>
    </row>
    <row r="10" spans="1:5" x14ac:dyDescent="0.25">
      <c r="A10" s="1"/>
      <c r="B10" s="49" t="s">
        <v>243</v>
      </c>
      <c r="C10" s="7">
        <v>-25110.196659972105</v>
      </c>
      <c r="D10" s="8" t="s">
        <v>3</v>
      </c>
      <c r="E10" s="1"/>
    </row>
    <row r="11" spans="1:5" ht="17.100000000000001" customHeight="1" x14ac:dyDescent="0.25">
      <c r="A11" s="1"/>
      <c r="B11" s="31" t="s">
        <v>45</v>
      </c>
      <c r="C11" s="7">
        <f>'Fane 9.1. Varige tillæg'!C12</f>
        <v>410044.24439999997</v>
      </c>
      <c r="D11" s="8" t="s">
        <v>3</v>
      </c>
      <c r="E11" s="1"/>
    </row>
    <row r="12" spans="1:5" ht="17.100000000000001" customHeight="1" x14ac:dyDescent="0.25">
      <c r="A12" s="1"/>
      <c r="B12" s="31" t="s">
        <v>46</v>
      </c>
      <c r="C12" s="9">
        <f>'Fane 9.1. Varige tillæg'!E12</f>
        <v>550492.27133600006</v>
      </c>
      <c r="D12" s="8" t="s">
        <v>3</v>
      </c>
      <c r="E12" s="1"/>
    </row>
    <row r="13" spans="1:5" ht="17.100000000000001" customHeight="1" x14ac:dyDescent="0.2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25">
      <c r="A17" s="1"/>
      <c r="B17" s="31" t="s">
        <v>18</v>
      </c>
      <c r="C17" s="9">
        <f>SUM(C9:C16)*'Fane 12. Nøgletal'!C13</f>
        <v>348983.4755637123</v>
      </c>
      <c r="D17" s="8" t="s">
        <v>3</v>
      </c>
      <c r="E17" s="1"/>
    </row>
    <row r="18" spans="1:5" ht="17.100000000000001" customHeight="1" x14ac:dyDescent="0.25">
      <c r="A18" s="1"/>
      <c r="B18" s="31" t="s">
        <v>9</v>
      </c>
      <c r="C18" s="9">
        <f>-SUM(C9:C17)*'Fane 5. Individuelt eff. krav'!G10</f>
        <v>-579083.72781244188</v>
      </c>
      <c r="D18" s="8" t="s">
        <v>3</v>
      </c>
      <c r="E18" s="1"/>
    </row>
    <row r="19" spans="1:5" ht="17.100000000000001" customHeight="1" x14ac:dyDescent="0.25">
      <c r="A19" s="1"/>
      <c r="B19" s="31" t="s">
        <v>27</v>
      </c>
      <c r="C19" s="9">
        <f>-'Fane 4.1. Gen. krav - drift'!G31</f>
        <v>-227779.72627627492</v>
      </c>
      <c r="D19" s="8" t="s">
        <v>3</v>
      </c>
      <c r="E19" s="1"/>
    </row>
    <row r="20" spans="1:5" ht="17.100000000000001" customHeight="1" x14ac:dyDescent="0.25">
      <c r="A20" s="1"/>
      <c r="B20" s="31" t="s">
        <v>28</v>
      </c>
      <c r="C20" s="9">
        <f>-'Fane 4.2. Gen. krav - anlæg'!G31</f>
        <v>-526064.06234003336</v>
      </c>
      <c r="D20" s="8" t="s">
        <v>3</v>
      </c>
      <c r="E20" s="1"/>
    </row>
    <row r="21" spans="1:5" ht="17.100000000000001" customHeight="1" x14ac:dyDescent="0.25">
      <c r="A21" s="1"/>
      <c r="B21" s="51" t="s">
        <v>20</v>
      </c>
      <c r="C21" s="10">
        <f>SUM(C9:C20)</f>
        <v>27621258.874193344</v>
      </c>
      <c r="D21" s="11" t="s">
        <v>3</v>
      </c>
      <c r="E21" s="1"/>
    </row>
    <row r="22" spans="1:5" ht="15" customHeight="1" x14ac:dyDescent="0.25">
      <c r="A22" s="1"/>
      <c r="B22" s="46" t="s">
        <v>12</v>
      </c>
      <c r="C22" s="47"/>
      <c r="D22" s="20"/>
      <c r="E22" s="1"/>
    </row>
    <row r="23" spans="1:5" ht="15" customHeight="1" x14ac:dyDescent="0.25">
      <c r="A23" s="1"/>
      <c r="B23" s="42" t="s">
        <v>12</v>
      </c>
      <c r="C23" s="10">
        <f>'Fane 6. Ikke-påvirkelige omk.'!C17</f>
        <v>32005892.897943687</v>
      </c>
      <c r="D23" s="11" t="s">
        <v>3</v>
      </c>
      <c r="E23" s="1"/>
    </row>
    <row r="24" spans="1:5" ht="15" customHeight="1" x14ac:dyDescent="0.25">
      <c r="A24" s="1"/>
      <c r="B24" s="46" t="s">
        <v>99</v>
      </c>
      <c r="C24" s="47"/>
      <c r="D24" s="20"/>
      <c r="E24" s="1"/>
    </row>
    <row r="25" spans="1:5" ht="15" customHeight="1" x14ac:dyDescent="0.25">
      <c r="A25" s="1"/>
      <c r="B25" s="31" t="s">
        <v>95</v>
      </c>
      <c r="C25" s="9">
        <f>'Fane 9.2. Engangstillæg'!C14</f>
        <v>0</v>
      </c>
      <c r="D25" s="8" t="s">
        <v>3</v>
      </c>
      <c r="E25" s="1"/>
    </row>
    <row r="26" spans="1:5" ht="15" customHeight="1" x14ac:dyDescent="0.2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25">
      <c r="A27" s="1"/>
      <c r="B27" s="51" t="s">
        <v>100</v>
      </c>
      <c r="C27" s="10">
        <f>SUM(C25:C26)</f>
        <v>0</v>
      </c>
      <c r="D27" s="11" t="s">
        <v>3</v>
      </c>
      <c r="E27" s="1"/>
    </row>
    <row r="28" spans="1:5" ht="15" customHeight="1" x14ac:dyDescent="0.25">
      <c r="A28" s="1"/>
      <c r="B28" s="38" t="s">
        <v>204</v>
      </c>
      <c r="C28" s="47"/>
      <c r="D28" s="20"/>
      <c r="E28" s="1"/>
    </row>
    <row r="29" spans="1:5" x14ac:dyDescent="0.25">
      <c r="A29" s="1"/>
      <c r="B29" s="39" t="s">
        <v>205</v>
      </c>
      <c r="C29" s="10">
        <f>'Fane 7. Kontrol af ØR2019'!E41</f>
        <v>0</v>
      </c>
      <c r="D29" s="11" t="s">
        <v>3</v>
      </c>
      <c r="E29" s="1"/>
    </row>
    <row r="30" spans="1:5" x14ac:dyDescent="0.25">
      <c r="A30" s="1"/>
      <c r="B30" s="38" t="s">
        <v>244</v>
      </c>
      <c r="C30" s="47"/>
      <c r="D30" s="20"/>
      <c r="E30" s="1"/>
    </row>
    <row r="31" spans="1:5" x14ac:dyDescent="0.25">
      <c r="A31" s="1"/>
      <c r="B31" s="39" t="s">
        <v>245</v>
      </c>
      <c r="C31" s="10">
        <v>892.06667407348823</v>
      </c>
      <c r="D31" s="11" t="s">
        <v>3</v>
      </c>
      <c r="E31" s="1"/>
    </row>
    <row r="32" spans="1:5" x14ac:dyDescent="0.25">
      <c r="A32" s="1"/>
      <c r="B32" s="46" t="s">
        <v>31</v>
      </c>
      <c r="C32" s="32">
        <f>SUM(C21,C23,C27,C29,C31)</f>
        <v>59628043.838811107</v>
      </c>
      <c r="D32" s="20" t="s">
        <v>3</v>
      </c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zkRRTJo/TRj6lcM8tmTkCX8QNKGK1mrLs7wnWbTbT1KUJD0ppugZ9WEYjWTFUW7wLVs6t/xOKnj2Fzkfiv7LIA==" saltValue="pxBKByAUuLzk6xZNsc5W2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13</v>
      </c>
      <c r="C8" s="47"/>
      <c r="D8" s="20"/>
      <c r="E8" s="1"/>
    </row>
    <row r="9" spans="1:5" ht="15" customHeight="1" x14ac:dyDescent="0.25">
      <c r="A9" s="1"/>
      <c r="B9" s="49" t="s">
        <v>26</v>
      </c>
      <c r="C9" s="7">
        <f>'Fane 2.1. Økonomisk ramme 2021'!C21</f>
        <v>27621258.874193344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0" t="s">
        <v>18</v>
      </c>
      <c r="C12" s="9">
        <f>SUM(C9:C11)*'Fane 12. Nøgletal'!C13</f>
        <v>336979.35826515884</v>
      </c>
      <c r="D12" s="8" t="s">
        <v>3</v>
      </c>
      <c r="E12" s="1"/>
    </row>
    <row r="13" spans="1:5" ht="15" customHeight="1" x14ac:dyDescent="0.25">
      <c r="A13" s="1"/>
      <c r="B13" s="40" t="s">
        <v>9</v>
      </c>
      <c r="C13" s="9">
        <f>-SUM(C9:C12)*'Fane 5. Individuelt eff. krav'!G10</f>
        <v>-559164.7646491701</v>
      </c>
      <c r="D13" s="8" t="s">
        <v>3</v>
      </c>
      <c r="E13" s="1"/>
    </row>
    <row r="14" spans="1:5" ht="15" customHeight="1" x14ac:dyDescent="0.25">
      <c r="A14" s="1"/>
      <c r="B14" s="40" t="s">
        <v>27</v>
      </c>
      <c r="C14" s="9">
        <f>-'Fane 4.1. Gen. krav - drift'!G37</f>
        <v>-225947.46615810855</v>
      </c>
      <c r="D14" s="8" t="s">
        <v>3</v>
      </c>
      <c r="E14" s="1"/>
    </row>
    <row r="15" spans="1:5" ht="15" customHeight="1" x14ac:dyDescent="0.25">
      <c r="A15" s="1"/>
      <c r="B15" s="40" t="s">
        <v>28</v>
      </c>
      <c r="C15" s="9">
        <f>-'Fane 4.2. Gen. krav - anlæg'!G37</f>
        <v>-517838.78769331577</v>
      </c>
      <c r="D15" s="8" t="s">
        <v>3</v>
      </c>
      <c r="E15" s="1"/>
    </row>
    <row r="16" spans="1:5" ht="15" customHeight="1" x14ac:dyDescent="0.25">
      <c r="A16" s="1"/>
      <c r="B16" s="41" t="s">
        <v>20</v>
      </c>
      <c r="C16" s="10">
        <f>SUM(C9:C15)</f>
        <v>26655287.213957909</v>
      </c>
      <c r="D16" s="11" t="s">
        <v>3</v>
      </c>
      <c r="E16" s="1"/>
    </row>
    <row r="17" spans="1:5" x14ac:dyDescent="0.25">
      <c r="A17" s="1"/>
      <c r="B17" s="46" t="s">
        <v>12</v>
      </c>
      <c r="C17" s="47"/>
      <c r="D17" s="20"/>
      <c r="E17" s="1"/>
    </row>
    <row r="18" spans="1:5" ht="15" customHeight="1" x14ac:dyDescent="0.25">
      <c r="A18" s="1"/>
      <c r="B18" s="42" t="s">
        <v>12</v>
      </c>
      <c r="C18" s="10">
        <f>'Fane 6. Ikke-påvirkelige omk.'!C17*(1+'Fane 12. Nøgletal'!C13)</f>
        <v>32396364.791298598</v>
      </c>
      <c r="D18" s="11" t="s">
        <v>3</v>
      </c>
      <c r="E18" s="1"/>
    </row>
    <row r="19" spans="1:5" ht="15" customHeight="1" x14ac:dyDescent="0.25">
      <c r="A19" s="1"/>
      <c r="B19" s="46" t="s">
        <v>99</v>
      </c>
      <c r="C19" s="47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1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7"/>
      <c r="D23" s="20"/>
      <c r="E23" s="1"/>
    </row>
    <row r="24" spans="1:5" ht="15" customHeight="1" x14ac:dyDescent="0.25">
      <c r="A24" s="1"/>
      <c r="B24" s="52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25">
      <c r="A25" s="1"/>
      <c r="B25" s="46" t="s">
        <v>32</v>
      </c>
      <c r="C25" s="12">
        <f>SUM(C16,C18,C22,C24)</f>
        <v>59051652.005256504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gNR8YGzmdTcMHxteLNRgUlyz8c+xi8P46uHQ/z1W2guOuuJVx7pTtamf+wdyhMsBbbdZj/CmUJAKTQq7IeU9nA==" saltValue="JjDrkkRLID8W5xBexNFEV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13</v>
      </c>
      <c r="C7" s="47"/>
      <c r="D7" s="20"/>
      <c r="E7" s="1"/>
    </row>
    <row r="8" spans="1:5" ht="15" customHeight="1" x14ac:dyDescent="0.25">
      <c r="A8" s="1"/>
      <c r="B8" s="49" t="s">
        <v>165</v>
      </c>
      <c r="C8" s="7">
        <f>'Fane 2.2. Økonomisk ramme 2022'!C16</f>
        <v>26655287.213957909</v>
      </c>
      <c r="D8" s="8" t="s">
        <v>3</v>
      </c>
      <c r="E8" s="1"/>
    </row>
    <row r="9" spans="1:5" ht="15" customHeight="1" x14ac:dyDescent="0.25">
      <c r="A9" s="1"/>
      <c r="B9" s="49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9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0" t="s">
        <v>18</v>
      </c>
      <c r="C11" s="9">
        <f>SUM(C8:C10)*'Fane 12. Nøgletal'!C13</f>
        <v>325194.50401028653</v>
      </c>
      <c r="D11" s="8" t="s">
        <v>3</v>
      </c>
      <c r="E11" s="1"/>
    </row>
    <row r="12" spans="1:5" ht="15" customHeight="1" x14ac:dyDescent="0.25">
      <c r="A12" s="1"/>
      <c r="B12" s="40" t="s">
        <v>9</v>
      </c>
      <c r="C12" s="9">
        <f>-SUM(C8:C11)*'Fane 5. Individuelt eff. krav'!G10</f>
        <v>-539609.63435936393</v>
      </c>
      <c r="D12" s="8" t="s">
        <v>3</v>
      </c>
      <c r="E12" s="1"/>
    </row>
    <row r="13" spans="1:5" ht="15" customHeight="1" x14ac:dyDescent="0.25">
      <c r="A13" s="1"/>
      <c r="B13" s="40" t="s">
        <v>27</v>
      </c>
      <c r="C13" s="9">
        <f>-'Fane 4.1. Gen. krav - drift'!G43</f>
        <v>-224129.94474033275</v>
      </c>
      <c r="D13" s="8" t="s">
        <v>3</v>
      </c>
      <c r="E13" s="1"/>
    </row>
    <row r="14" spans="1:5" ht="15" customHeight="1" x14ac:dyDescent="0.25">
      <c r="A14" s="1"/>
      <c r="B14" s="40" t="s">
        <v>28</v>
      </c>
      <c r="C14" s="9">
        <f>-'Fane 4.2. Gen. krav - anlæg'!G43</f>
        <v>-509742.11932833696</v>
      </c>
      <c r="D14" s="8" t="s">
        <v>3</v>
      </c>
      <c r="E14" s="1"/>
    </row>
    <row r="15" spans="1:5" x14ac:dyDescent="0.25">
      <c r="A15" s="1"/>
      <c r="B15" s="41" t="s">
        <v>20</v>
      </c>
      <c r="C15" s="10">
        <f>SUM(C8:C14)</f>
        <v>25707000.019540161</v>
      </c>
      <c r="D15" s="11" t="s">
        <v>3</v>
      </c>
      <c r="E15" s="1"/>
    </row>
    <row r="16" spans="1:5" x14ac:dyDescent="0.25">
      <c r="A16" s="1"/>
      <c r="B16" s="46" t="s">
        <v>12</v>
      </c>
      <c r="C16" s="47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omk.'!C17*(1+'Fane 12. Nøgletal'!C13)^2</f>
        <v>32791600.441752445</v>
      </c>
      <c r="D17" s="11" t="s">
        <v>3</v>
      </c>
      <c r="E17" s="1"/>
    </row>
    <row r="18" spans="1:5" ht="15" customHeight="1" x14ac:dyDescent="0.25">
      <c r="A18" s="1"/>
      <c r="B18" s="46" t="s">
        <v>99</v>
      </c>
      <c r="C18" s="47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109</v>
      </c>
      <c r="C22" s="12">
        <f>SUM(C15,C17,C21)</f>
        <v>58498600.46129261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BysH0qWWhKf/Xj02BfdrfZ9B/TAYYc49F1AvyDG4dSlyU6qwap4b07+F9Zf0fr/eccZcPKi0Dn+QKCPjWwkAVw==" saltValue="MafkgzGIN4+T9c7pqZhE4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13</v>
      </c>
      <c r="C7" s="47"/>
      <c r="D7" s="20"/>
      <c r="E7" s="1"/>
    </row>
    <row r="8" spans="1:5" ht="15" customHeight="1" x14ac:dyDescent="0.25">
      <c r="A8" s="1"/>
      <c r="B8" s="49" t="s">
        <v>166</v>
      </c>
      <c r="C8" s="7">
        <f>'Fane 2.3. Økonomisk ramme 2023'!C15</f>
        <v>25707000.019540161</v>
      </c>
      <c r="D8" s="8" t="s">
        <v>3</v>
      </c>
      <c r="E8" s="1"/>
    </row>
    <row r="9" spans="1:5" ht="15" customHeight="1" x14ac:dyDescent="0.25">
      <c r="A9" s="1"/>
      <c r="B9" s="49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9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0" t="s">
        <v>18</v>
      </c>
      <c r="C11" s="9">
        <f>SUM(C8:C10)*'Fane 12. Nøgletal'!C13</f>
        <v>313625.40023838996</v>
      </c>
      <c r="D11" s="8" t="s">
        <v>3</v>
      </c>
      <c r="E11" s="1"/>
    </row>
    <row r="12" spans="1:5" ht="15" customHeight="1" x14ac:dyDescent="0.25">
      <c r="A12" s="1"/>
      <c r="B12" s="40" t="s">
        <v>9</v>
      </c>
      <c r="C12" s="9">
        <f>-SUM(C8:C11)*'Fane 5. Individuelt eff. krav'!G10</f>
        <v>-520412.50839557103</v>
      </c>
      <c r="D12" s="8" t="s">
        <v>3</v>
      </c>
      <c r="E12" s="1"/>
    </row>
    <row r="13" spans="1:5" ht="15" customHeight="1" x14ac:dyDescent="0.25">
      <c r="A13" s="1"/>
      <c r="B13" s="40" t="s">
        <v>27</v>
      </c>
      <c r="C13" s="9">
        <f>-'Fane 4.1. Gen. krav - drift'!G49</f>
        <v>-222327.04346484152</v>
      </c>
      <c r="D13" s="8" t="s">
        <v>3</v>
      </c>
      <c r="E13" s="1"/>
    </row>
    <row r="14" spans="1:5" ht="15" customHeight="1" x14ac:dyDescent="0.25">
      <c r="A14" s="1"/>
      <c r="B14" s="40" t="s">
        <v>28</v>
      </c>
      <c r="C14" s="9">
        <f>-'Fane 4.2. Gen. krav - anlæg'!G49</f>
        <v>-501772.04642157868</v>
      </c>
      <c r="D14" s="8" t="s">
        <v>3</v>
      </c>
      <c r="E14" s="1"/>
    </row>
    <row r="15" spans="1:5" x14ac:dyDescent="0.25">
      <c r="A15" s="1"/>
      <c r="B15" s="41" t="s">
        <v>20</v>
      </c>
      <c r="C15" s="10">
        <f>SUM(C8:C14)</f>
        <v>24776113.821496557</v>
      </c>
      <c r="D15" s="11" t="s">
        <v>3</v>
      </c>
      <c r="E15" s="1"/>
    </row>
    <row r="16" spans="1:5" x14ac:dyDescent="0.25">
      <c r="A16" s="1"/>
      <c r="B16" s="46" t="s">
        <v>12</v>
      </c>
      <c r="C16" s="47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omk.'!C17*(1+'Fane 12. Nøgletal'!C13)^3</f>
        <v>33191657.967141826</v>
      </c>
      <c r="D17" s="11" t="s">
        <v>3</v>
      </c>
      <c r="E17" s="1"/>
    </row>
    <row r="18" spans="1:5" ht="15" customHeight="1" x14ac:dyDescent="0.25">
      <c r="A18" s="1"/>
      <c r="B18" s="46" t="s">
        <v>99</v>
      </c>
      <c r="C18" s="47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242</v>
      </c>
      <c r="C22" s="12">
        <f>SUM(C15,C17,C21)</f>
        <v>57967771.788638383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sJ1pDFhTbw38O+n01eYlXYOpyxQ0Q4tFJHiSwtz5PeszvULLNPtg7/Sorc+QtC4tvCYlgsISVMsag5Y1zccOQ==" saltValue="ryZI9+sn/gSeGoVRs9o0M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167</v>
      </c>
      <c r="C8" s="47"/>
      <c r="D8" s="47"/>
      <c r="E8" s="47"/>
      <c r="F8" s="20"/>
      <c r="G8" s="1"/>
    </row>
    <row r="9" spans="1:7" x14ac:dyDescent="0.25">
      <c r="A9" s="1"/>
      <c r="B9" s="84" t="s">
        <v>23</v>
      </c>
      <c r="C9" s="85"/>
      <c r="D9" s="86"/>
      <c r="E9" s="7">
        <v>27570077.079337865</v>
      </c>
      <c r="F9" s="8" t="s">
        <v>3</v>
      </c>
      <c r="G9" s="1"/>
    </row>
    <row r="10" spans="1:7" x14ac:dyDescent="0.25">
      <c r="A10" s="1"/>
      <c r="B10" s="84" t="s">
        <v>274</v>
      </c>
      <c r="C10" s="85"/>
      <c r="D10" s="86"/>
      <c r="E10" s="7">
        <v>18202</v>
      </c>
      <c r="F10" s="8" t="s">
        <v>3</v>
      </c>
      <c r="G10" s="1"/>
    </row>
    <row r="11" spans="1:7" ht="15" customHeight="1" x14ac:dyDescent="0.25">
      <c r="A11" s="1"/>
      <c r="B11" s="75" t="s">
        <v>45</v>
      </c>
      <c r="C11" s="76"/>
      <c r="D11" s="77"/>
      <c r="E11" s="7">
        <v>0</v>
      </c>
      <c r="F11" s="8" t="s">
        <v>3</v>
      </c>
      <c r="G11" s="1"/>
    </row>
    <row r="12" spans="1:7" ht="15" customHeight="1" x14ac:dyDescent="0.25">
      <c r="A12" s="1"/>
      <c r="B12" s="75" t="s">
        <v>46</v>
      </c>
      <c r="C12" s="76"/>
      <c r="D12" s="77"/>
      <c r="E12" s="9">
        <v>240228.22086582001</v>
      </c>
      <c r="F12" s="8" t="s">
        <v>3</v>
      </c>
      <c r="G12" s="1"/>
    </row>
    <row r="13" spans="1:7" x14ac:dyDescent="0.25">
      <c r="A13" s="1"/>
      <c r="B13" s="75" t="s">
        <v>30</v>
      </c>
      <c r="C13" s="76"/>
      <c r="D13" s="77"/>
      <c r="E13" s="9">
        <v>0</v>
      </c>
      <c r="F13" s="8" t="s">
        <v>3</v>
      </c>
      <c r="G13" s="1"/>
    </row>
    <row r="14" spans="1:7" x14ac:dyDescent="0.25">
      <c r="A14" s="1"/>
      <c r="B14" s="75" t="s">
        <v>29</v>
      </c>
      <c r="C14" s="76"/>
      <c r="D14" s="77"/>
      <c r="E14" s="9">
        <v>0</v>
      </c>
      <c r="F14" s="8" t="s">
        <v>3</v>
      </c>
      <c r="G14" s="1"/>
    </row>
    <row r="15" spans="1:7" x14ac:dyDescent="0.25">
      <c r="A15" s="1"/>
      <c r="B15" s="75" t="s">
        <v>159</v>
      </c>
      <c r="C15" s="76"/>
      <c r="D15" s="77"/>
      <c r="E15" s="9">
        <v>0</v>
      </c>
      <c r="F15" s="8" t="s">
        <v>3</v>
      </c>
      <c r="G15" s="1"/>
    </row>
    <row r="16" spans="1:7" x14ac:dyDescent="0.25">
      <c r="A16" s="1"/>
      <c r="B16" s="75" t="s">
        <v>160</v>
      </c>
      <c r="C16" s="76"/>
      <c r="D16" s="77"/>
      <c r="E16" s="9">
        <v>0</v>
      </c>
      <c r="F16" s="8" t="s">
        <v>3</v>
      </c>
      <c r="G16" s="1"/>
    </row>
    <row r="17" spans="1:7" x14ac:dyDescent="0.25">
      <c r="A17" s="1"/>
      <c r="B17" s="75" t="s">
        <v>18</v>
      </c>
      <c r="C17" s="76"/>
      <c r="D17" s="77"/>
      <c r="E17" s="9">
        <f>SUM(E9:E10)*'Fane 12. Nøgletal'!C11+SUM(E11:E16)*'Fane 12. Nøgletal'!C12</f>
        <v>470974.41239186656</v>
      </c>
      <c r="F17" s="8" t="s">
        <v>3</v>
      </c>
      <c r="G17" s="1"/>
    </row>
    <row r="18" spans="1:7" x14ac:dyDescent="0.25">
      <c r="A18" s="1"/>
      <c r="B18" s="75" t="s">
        <v>9</v>
      </c>
      <c r="C18" s="76"/>
      <c r="D18" s="77"/>
      <c r="E18" s="9">
        <f>-SUM(E9:E17)*'Fane 5. Individuelt eff. krav'!G9</f>
        <v>-242545.14025582696</v>
      </c>
      <c r="F18" s="8" t="s">
        <v>3</v>
      </c>
      <c r="G18" s="1"/>
    </row>
    <row r="19" spans="1:7" x14ac:dyDescent="0.25">
      <c r="A19" s="1"/>
      <c r="B19" s="75" t="s">
        <v>27</v>
      </c>
      <c r="C19" s="76"/>
      <c r="D19" s="77"/>
      <c r="E19" s="9">
        <f>-'Fane 4.1. Gen. krav - drift'!G25</f>
        <v>-221258.59472863851</v>
      </c>
      <c r="F19" s="8" t="s">
        <v>3</v>
      </c>
      <c r="G19" s="1"/>
    </row>
    <row r="20" spans="1:7" x14ac:dyDescent="0.25">
      <c r="A20" s="1"/>
      <c r="B20" s="75" t="s">
        <v>28</v>
      </c>
      <c r="C20" s="76"/>
      <c r="D20" s="77"/>
      <c r="E20" s="9">
        <f>-'Fane 4.2. Gen. krav - anlæg'!G25</f>
        <v>-165901.38162873455</v>
      </c>
      <c r="F20" s="8" t="s">
        <v>3</v>
      </c>
      <c r="G20" s="1"/>
    </row>
    <row r="21" spans="1:7" x14ac:dyDescent="0.25">
      <c r="A21" s="1"/>
      <c r="B21" s="90" t="s">
        <v>20</v>
      </c>
      <c r="C21" s="91"/>
      <c r="D21" s="92"/>
      <c r="E21" s="10">
        <f>SUM(E9:E20)</f>
        <v>27669776.595982354</v>
      </c>
      <c r="F21" s="11" t="s">
        <v>3</v>
      </c>
      <c r="G21" s="1"/>
    </row>
    <row r="22" spans="1:7" x14ac:dyDescent="0.25">
      <c r="A22" s="1"/>
      <c r="B22" s="78" t="s">
        <v>12</v>
      </c>
      <c r="C22" s="79"/>
      <c r="D22" s="79"/>
      <c r="E22" s="47"/>
      <c r="F22" s="20"/>
      <c r="G22" s="1"/>
    </row>
    <row r="23" spans="1:7" x14ac:dyDescent="0.25">
      <c r="A23" s="1"/>
      <c r="B23" s="80" t="s">
        <v>12</v>
      </c>
      <c r="C23" s="81"/>
      <c r="D23" s="82"/>
      <c r="E23" s="10">
        <v>31172614.025667842</v>
      </c>
      <c r="F23" s="11" t="s">
        <v>3</v>
      </c>
      <c r="G23" s="1"/>
    </row>
    <row r="24" spans="1:7" ht="15" customHeight="1" x14ac:dyDescent="0.25">
      <c r="A24" s="1"/>
      <c r="B24" s="78" t="s">
        <v>99</v>
      </c>
      <c r="C24" s="79"/>
      <c r="D24" s="79"/>
      <c r="E24" s="47"/>
      <c r="F24" s="47"/>
      <c r="G24" s="1"/>
    </row>
    <row r="25" spans="1:7" ht="14.25" customHeight="1" x14ac:dyDescent="0.25">
      <c r="A25" s="1"/>
      <c r="B25" s="87" t="s">
        <v>95</v>
      </c>
      <c r="C25" s="88"/>
      <c r="D25" s="89"/>
      <c r="E25" s="9">
        <v>0</v>
      </c>
      <c r="F25" s="8" t="s">
        <v>3</v>
      </c>
      <c r="G25" s="1"/>
    </row>
    <row r="26" spans="1:7" ht="14.25" customHeight="1" x14ac:dyDescent="0.25">
      <c r="A26" s="1"/>
      <c r="B26" s="87" t="s">
        <v>96</v>
      </c>
      <c r="C26" s="88"/>
      <c r="D26" s="89"/>
      <c r="E26" s="9">
        <v>0</v>
      </c>
      <c r="F26" s="8" t="s">
        <v>3</v>
      </c>
      <c r="G26" s="1"/>
    </row>
    <row r="27" spans="1:7" x14ac:dyDescent="0.25">
      <c r="A27" s="1"/>
      <c r="B27" s="93" t="s">
        <v>100</v>
      </c>
      <c r="C27" s="94"/>
      <c r="D27" s="94"/>
      <c r="E27" s="10">
        <v>0</v>
      </c>
      <c r="F27" s="11" t="s">
        <v>3</v>
      </c>
      <c r="G27" s="1"/>
    </row>
    <row r="28" spans="1:7" ht="14.25" customHeight="1" x14ac:dyDescent="0.25">
      <c r="A28" s="1"/>
      <c r="B28" s="46" t="s">
        <v>228</v>
      </c>
      <c r="C28" s="47"/>
      <c r="D28" s="47"/>
      <c r="E28" s="47"/>
      <c r="F28" s="47"/>
      <c r="G28" s="1"/>
    </row>
    <row r="29" spans="1:7" ht="13.15" customHeight="1" x14ac:dyDescent="0.25">
      <c r="A29" s="1"/>
      <c r="B29" s="93" t="s">
        <v>229</v>
      </c>
      <c r="C29" s="94"/>
      <c r="D29" s="95"/>
      <c r="E29" s="10">
        <v>0</v>
      </c>
      <c r="F29" s="11" t="s">
        <v>3</v>
      </c>
      <c r="G29" s="1"/>
    </row>
    <row r="30" spans="1:7" x14ac:dyDescent="0.25">
      <c r="A30" s="1"/>
      <c r="B30" s="46" t="s">
        <v>230</v>
      </c>
      <c r="C30" s="47"/>
      <c r="D30" s="47"/>
      <c r="E30" s="47"/>
      <c r="F30" s="20"/>
      <c r="G30" s="1"/>
    </row>
    <row r="31" spans="1:7" ht="15" customHeight="1" x14ac:dyDescent="0.25">
      <c r="A31" s="1"/>
      <c r="B31" s="93" t="s">
        <v>231</v>
      </c>
      <c r="C31" s="94"/>
      <c r="D31" s="95"/>
      <c r="E31" s="10">
        <v>182720.37000000011</v>
      </c>
      <c r="F31" s="11" t="s">
        <v>3</v>
      </c>
      <c r="G31" s="1"/>
    </row>
    <row r="32" spans="1:7" x14ac:dyDescent="0.25">
      <c r="A32" s="1"/>
      <c r="B32" s="46" t="s">
        <v>232</v>
      </c>
      <c r="C32" s="47"/>
      <c r="D32" s="47"/>
      <c r="E32" s="47"/>
      <c r="F32" s="20"/>
      <c r="G32" s="1"/>
    </row>
    <row r="33" spans="1:7" x14ac:dyDescent="0.25">
      <c r="A33" s="1"/>
      <c r="B33" s="80" t="s">
        <v>233</v>
      </c>
      <c r="C33" s="81"/>
      <c r="D33" s="82"/>
      <c r="E33" s="10">
        <v>0</v>
      </c>
      <c r="F33" s="11" t="s">
        <v>3</v>
      </c>
      <c r="G33" s="1"/>
    </row>
    <row r="34" spans="1:7" x14ac:dyDescent="0.25">
      <c r="A34" s="1"/>
      <c r="B34" s="46" t="s">
        <v>275</v>
      </c>
      <c r="C34" s="47"/>
      <c r="D34" s="47"/>
      <c r="E34" s="47"/>
      <c r="F34" s="20"/>
      <c r="G34" s="1"/>
    </row>
    <row r="35" spans="1:7" ht="15" customHeight="1" x14ac:dyDescent="0.25">
      <c r="A35" s="1"/>
      <c r="B35" s="80" t="s">
        <v>276</v>
      </c>
      <c r="C35" s="81"/>
      <c r="D35" s="82"/>
      <c r="E35" s="10">
        <v>18202</v>
      </c>
      <c r="F35" s="11" t="s">
        <v>3</v>
      </c>
      <c r="G35" s="1"/>
    </row>
    <row r="36" spans="1:7" x14ac:dyDescent="0.25">
      <c r="A36" s="1"/>
      <c r="B36" s="46" t="s">
        <v>24</v>
      </c>
      <c r="C36" s="47"/>
      <c r="D36" s="47"/>
      <c r="E36" s="12">
        <f>SUM(E31,E27,E29,E23,E21,E33,E35)</f>
        <v>59043312.991650194</v>
      </c>
      <c r="F36" s="13" t="s">
        <v>3</v>
      </c>
      <c r="G36" s="1"/>
    </row>
    <row r="37" spans="1:7" ht="28.15" customHeight="1" x14ac:dyDescent="0.25">
      <c r="A37" s="1"/>
      <c r="B37" s="87" t="s">
        <v>179</v>
      </c>
      <c r="C37" s="88"/>
      <c r="D37" s="88"/>
      <c r="E37" s="88"/>
      <c r="F37" s="89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14.25" customHeight="1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</sheetData>
  <sheetProtection algorithmName="SHA-512" hashValue="LPpUNxdjXKXONY7ahlqwXYevaabTPBscgKlvTjWyRkmr6BYiDJuBlgLGknc9N4+amfVcP0VtNWQWY414GO78Cg==" saltValue="8cOn9SALFOZy676Jw83Xhg==" spinCount="100000" sheet="1" objects="1" scenarios="1"/>
  <mergeCells count="25">
    <mergeCell ref="B37:F37"/>
    <mergeCell ref="B17:D17"/>
    <mergeCell ref="B18:D18"/>
    <mergeCell ref="B19:D19"/>
    <mergeCell ref="B20:D20"/>
    <mergeCell ref="B21:D21"/>
    <mergeCell ref="B33:D33"/>
    <mergeCell ref="B31:D31"/>
    <mergeCell ref="B24:D24"/>
    <mergeCell ref="B25:D25"/>
    <mergeCell ref="B26:D26"/>
    <mergeCell ref="B27:D27"/>
    <mergeCell ref="B29:D29"/>
    <mergeCell ref="B35:D35"/>
    <mergeCell ref="B3:F4"/>
    <mergeCell ref="B9:D9"/>
    <mergeCell ref="B11:D11"/>
    <mergeCell ref="B12:D12"/>
    <mergeCell ref="B13:D13"/>
    <mergeCell ref="B10:D10"/>
    <mergeCell ref="B14:D14"/>
    <mergeCell ref="B15:D15"/>
    <mergeCell ref="B16:D16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53</v>
      </c>
      <c r="C5" s="100"/>
      <c r="D5" s="100"/>
      <c r="E5" s="100"/>
      <c r="F5" s="101"/>
      <c r="G5" s="24">
        <v>10646230.818906799</v>
      </c>
      <c r="H5" s="14" t="s">
        <v>3</v>
      </c>
      <c r="I5" s="1"/>
    </row>
    <row r="6" spans="1:9" x14ac:dyDescent="0.25">
      <c r="A6" s="1"/>
      <c r="B6" s="99" t="s">
        <v>54</v>
      </c>
      <c r="C6" s="100"/>
      <c r="D6" s="100"/>
      <c r="E6" s="100"/>
      <c r="F6" s="101"/>
      <c r="G6" s="24">
        <f>G5*'Fane 12. Nøgletal'!C27</f>
        <v>212924.61637813598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10565809.191300776</v>
      </c>
      <c r="H10" s="14" t="s">
        <v>3</v>
      </c>
      <c r="I10" s="1"/>
    </row>
    <row r="11" spans="1:9" x14ac:dyDescent="0.25">
      <c r="A11" s="1"/>
      <c r="B11" s="102" t="s">
        <v>56</v>
      </c>
      <c r="C11" s="103"/>
      <c r="D11" s="103"/>
      <c r="E11" s="103"/>
      <c r="F11" s="104"/>
      <c r="G11" s="24">
        <v>697840.93066875008</v>
      </c>
      <c r="H11" s="14" t="s">
        <v>3</v>
      </c>
      <c r="I11" s="1"/>
    </row>
    <row r="12" spans="1:9" x14ac:dyDescent="0.2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225273.00243939055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58</v>
      </c>
      <c r="C16" s="100"/>
      <c r="D16" s="100"/>
      <c r="E16" s="100"/>
      <c r="F16" s="101"/>
      <c r="G16" s="24">
        <f>(G12/'Fane 12. Nøgletal'!C27-G12)*(1+'Fane 12. Nøgletal'!C11)</f>
        <v>11224925.692850195</v>
      </c>
      <c r="H16" s="14" t="s">
        <v>3</v>
      </c>
      <c r="I16" s="1"/>
    </row>
    <row r="17" spans="1:9" x14ac:dyDescent="0.25">
      <c r="A17" s="1"/>
      <c r="B17" s="99" t="s">
        <v>148</v>
      </c>
      <c r="C17" s="100"/>
      <c r="D17" s="100"/>
      <c r="E17" s="100"/>
      <c r="F17" s="101"/>
      <c r="G17" s="24">
        <v>-123830.39076971594</v>
      </c>
      <c r="H17" s="14" t="s">
        <v>3</v>
      </c>
      <c r="I17" s="1"/>
    </row>
    <row r="18" spans="1:9" x14ac:dyDescent="0.2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222021.90604160959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11062929.736431925</v>
      </c>
      <c r="H23" s="14" t="s">
        <v>3</v>
      </c>
      <c r="I23" s="1"/>
    </row>
    <row r="24" spans="1:9" x14ac:dyDescent="0.2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221258.59472863851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10973939.529632065</v>
      </c>
      <c r="H29" s="14" t="s">
        <v>3</v>
      </c>
      <c r="I29" s="1"/>
    </row>
    <row r="30" spans="1:9" x14ac:dyDescent="0.25">
      <c r="A30" s="1"/>
      <c r="B30" s="99" t="s">
        <v>187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415046.78418167995</v>
      </c>
      <c r="H30" s="14" t="s">
        <v>3</v>
      </c>
      <c r="I30" s="1"/>
    </row>
    <row r="31" spans="1:9" x14ac:dyDescent="0.2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227779.72627627492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11297373.307905428</v>
      </c>
      <c r="H35" s="14" t="s">
        <v>3</v>
      </c>
      <c r="I35" s="1"/>
    </row>
    <row r="36" spans="1:9" x14ac:dyDescent="0.2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225947.46615810855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11206497.237016637</v>
      </c>
      <c r="H41" s="14" t="s">
        <v>3</v>
      </c>
      <c r="I41" s="1"/>
    </row>
    <row r="42" spans="1:9" x14ac:dyDescent="0.2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224129.94474033275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11116352.173242075</v>
      </c>
      <c r="H47" s="14" t="s">
        <v>3</v>
      </c>
      <c r="I47" s="1"/>
    </row>
    <row r="48" spans="1:9" x14ac:dyDescent="0.2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222327.04346484152</v>
      </c>
      <c r="H49" s="14" t="s">
        <v>3</v>
      </c>
      <c r="I49" s="1"/>
    </row>
    <row r="50" spans="1:9" x14ac:dyDescent="0.25">
      <c r="A50" s="1"/>
      <c r="B50" s="46"/>
      <c r="C50" s="47"/>
      <c r="D50" s="47"/>
      <c r="E50" s="47"/>
      <c r="F50" s="47"/>
      <c r="G50" s="47"/>
      <c r="H50" s="20"/>
      <c r="I50" s="1"/>
    </row>
  </sheetData>
  <sheetProtection algorithmName="SHA-512" hashValue="Ws4WH0x5qyY657fNqxC3RGy5HTTwIOYaQYVbeb3TkrkrlGm7z/OntG1F5+talk8oaIQUlljGt8dp2aMlyyIP5Q==" saltValue="1MheQZv7gEUktmFmAgs5QA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72</v>
      </c>
      <c r="C5" s="100"/>
      <c r="D5" s="100"/>
      <c r="E5" s="100"/>
      <c r="F5" s="101"/>
      <c r="G5" s="24">
        <v>14485768.204734059</v>
      </c>
      <c r="H5" s="14" t="s">
        <v>3</v>
      </c>
      <c r="I5" s="1"/>
    </row>
    <row r="6" spans="1:9" x14ac:dyDescent="0.25">
      <c r="A6" s="1"/>
      <c r="B6" s="99" t="s">
        <v>69</v>
      </c>
      <c r="C6" s="100"/>
      <c r="D6" s="100"/>
      <c r="E6" s="100"/>
      <c r="F6" s="101"/>
      <c r="G6" s="24">
        <f>G5*'Fane 12. Nøgletal'!C18</f>
        <v>131820.49066307995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14536242.85003968</v>
      </c>
      <c r="H10" s="14" t="s">
        <v>3</v>
      </c>
      <c r="I10" s="1"/>
    </row>
    <row r="11" spans="1:9" x14ac:dyDescent="0.25">
      <c r="A11" s="1"/>
      <c r="B11" s="102" t="s">
        <v>75</v>
      </c>
      <c r="C11" s="103"/>
      <c r="D11" s="103"/>
      <c r="E11" s="103"/>
      <c r="F11" s="104"/>
      <c r="G11" s="24">
        <v>2177089.6065875003</v>
      </c>
      <c r="H11" s="14" t="s">
        <v>3</v>
      </c>
      <c r="I11" s="1"/>
    </row>
    <row r="12" spans="1:9" x14ac:dyDescent="0.2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170814.29597195983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16822086.71757029</v>
      </c>
      <c r="H16" s="14" t="s">
        <v>3</v>
      </c>
      <c r="I16" s="1"/>
    </row>
    <row r="17" spans="1:9" x14ac:dyDescent="0.25">
      <c r="A17" s="1"/>
      <c r="B17" s="99" t="s">
        <v>149</v>
      </c>
      <c r="C17" s="100"/>
      <c r="D17" s="100"/>
      <c r="E17" s="100"/>
      <c r="F17" s="101"/>
      <c r="G17" s="24">
        <v>60818.751125484989</v>
      </c>
      <c r="H17" s="14" t="s">
        <v>3</v>
      </c>
      <c r="I17" s="1"/>
    </row>
    <row r="18" spans="1:9" x14ac:dyDescent="0.25">
      <c r="A18" s="1"/>
      <c r="B18" s="102" t="s">
        <v>79</v>
      </c>
      <c r="C18" s="103"/>
      <c r="D18" s="103"/>
      <c r="E18" s="103"/>
      <c r="F18" s="104"/>
      <c r="G18" s="24">
        <v>1240628.6993133498</v>
      </c>
      <c r="H18" s="14" t="s">
        <v>3</v>
      </c>
      <c r="I18" s="1"/>
    </row>
    <row r="19" spans="1:9" x14ac:dyDescent="0.2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157674.74726167938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18269482.444958076</v>
      </c>
      <c r="H23" s="14" t="s">
        <v>3</v>
      </c>
      <c r="I23" s="1"/>
    </row>
    <row r="24" spans="1:9" x14ac:dyDescent="0.25">
      <c r="A24" s="1"/>
      <c r="B24" s="102" t="s">
        <v>83</v>
      </c>
      <c r="C24" s="103"/>
      <c r="D24" s="103"/>
      <c r="E24" s="103"/>
      <c r="F24" s="104"/>
      <c r="G24" s="24">
        <v>244960.71681687667</v>
      </c>
      <c r="H24" s="14" t="s">
        <v>3</v>
      </c>
      <c r="I24" s="1"/>
    </row>
    <row r="25" spans="1:9" x14ac:dyDescent="0.2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165901.38162873455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18572393.989864003</v>
      </c>
      <c r="H29" s="14" t="s">
        <v>3</v>
      </c>
      <c r="I29" s="1"/>
    </row>
    <row r="30" spans="1:9" x14ac:dyDescent="0.25">
      <c r="A30" s="1"/>
      <c r="B30" s="99" t="s">
        <v>192</v>
      </c>
      <c r="C30" s="100"/>
      <c r="D30" s="100"/>
      <c r="E30" s="100"/>
      <c r="F30" s="101"/>
      <c r="G30" s="24">
        <f>SUM('Fane 2.1. Økonomisk ramme 2021'!C12,'Fane 2.1. Økonomisk ramme 2021'!C14,'Fane 2.1. Økonomisk ramme 2021'!C16)*(1+'Fane 12. Nøgletal'!C13)</f>
        <v>557208.27704629931</v>
      </c>
      <c r="H30" s="14" t="s">
        <v>3</v>
      </c>
      <c r="I30" s="1"/>
    </row>
    <row r="31" spans="1:9" x14ac:dyDescent="0.2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526064.06234003336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18830501.370666027</v>
      </c>
      <c r="H35" s="14" t="s">
        <v>3</v>
      </c>
      <c r="I35" s="1"/>
    </row>
    <row r="36" spans="1:9" x14ac:dyDescent="0.2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517838.78769331577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18536077.06648498</v>
      </c>
      <c r="H41" s="14" t="s">
        <v>3</v>
      </c>
      <c r="I41" s="1"/>
    </row>
    <row r="42" spans="1:9" x14ac:dyDescent="0.2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509742.11932833696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18246256.233511951</v>
      </c>
      <c r="H47" s="14" t="s">
        <v>3</v>
      </c>
      <c r="I47" s="1"/>
    </row>
    <row r="48" spans="1:9" x14ac:dyDescent="0.2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501772.04642157868</v>
      </c>
      <c r="H49" s="14" t="s">
        <v>3</v>
      </c>
      <c r="I49" s="1"/>
    </row>
    <row r="50" spans="1:9" x14ac:dyDescent="0.25">
      <c r="A50" s="1"/>
      <c r="B50" s="46"/>
      <c r="C50" s="47"/>
      <c r="D50" s="47"/>
      <c r="E50" s="47"/>
      <c r="F50" s="47"/>
      <c r="G50" s="47"/>
      <c r="H50" s="20"/>
      <c r="I50" s="1"/>
    </row>
  </sheetData>
  <sheetProtection algorithmName="SHA-512" hashValue="JEx/d8fI41aht0O5B8DlUrY51Cmm+FWszNLUEhobJ38QGUBPPOOHH1HPInH0j5Af4n0/QmOZV/TCnZhgiY/Pww==" saltValue="oQAVfGyzeTZhwggUJw13l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124</v>
      </c>
      <c r="C9" s="100"/>
      <c r="D9" s="100"/>
      <c r="E9" s="100"/>
      <c r="F9" s="101"/>
      <c r="G9" s="23">
        <v>8.5706566190530201E-3</v>
      </c>
      <c r="H9" s="14"/>
      <c r="I9" s="1"/>
    </row>
    <row r="10" spans="1:9" x14ac:dyDescent="0.25">
      <c r="A10" s="1"/>
      <c r="B10" s="99" t="s">
        <v>181</v>
      </c>
      <c r="C10" s="100"/>
      <c r="D10" s="100"/>
      <c r="E10" s="100"/>
      <c r="F10" s="101"/>
      <c r="G10" s="23">
        <v>0.02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avSny/hvPJ3enhEJyzS2E4FS+86mXMOjVP0No2jmHRvYLB/qXNXvvp7WDVprj+je8IdA94Z8ipyHgPtZWjllA==" saltValue="3MWybukVIEj5os39i4fei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2020-10-21T06:50:33Z</dcterms:modified>
</cp:coreProperties>
</file>