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ribvand Spildevand AS (S03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10" i="11" l="1"/>
  <c r="E29" i="11" s="1"/>
  <c r="G29" i="11"/>
  <c r="F29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8" i="20" l="1"/>
  <c r="E22" i="20"/>
  <c r="E16" i="20"/>
  <c r="E10" i="20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C10" i="37"/>
  <c r="C11" i="37" s="1"/>
  <c r="C12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38" i="30" l="1"/>
  <c r="G44" i="30" s="1"/>
  <c r="G27" i="30"/>
  <c r="G31" i="30" l="1"/>
  <c r="E10" i="37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<sst xmlns="http://schemas.openxmlformats.org/spreadsheetml/2006/main" count="759" uniqueCount="308">
  <si>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</si>
  <si>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</si>
  <si>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</si>
  <si>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</si>
  <si>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</si>
  <si>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</si>
  <si>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</si>
  <si>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</si>
  <si>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</si>
  <si>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</si>
  <si>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</si>
  <si>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</si>
  <si>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</si>
  <si>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</si>
  <si>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</si>
  <si>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</si>
  <si>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</si>
  <si>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</si>
  <si>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</si>
  <si>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</si>
  <si>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</si>
  <si>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</si>
  <si>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</si>
  <si>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</si>
  <si>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</si>
  <si>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</si>
  <si>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</si>
  <si>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</si>
  <si>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</si>
  <si>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</si>
  <si>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</si>
  <si>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</si>
  <si>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</si>
  <si>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</si>
  <si>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</si>
  <si>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</si>
  <si>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</si>
  <si>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</si>
  <si>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</si>
  <si>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</si>
  <si>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</si>
  <si>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</si>
  <si>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</si>
  <si>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</si>
  <si>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</si>
  <si>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</si>
  <si>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</si>
  <si>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</si>
  <si>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</si>
  <si>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</si>
  <si>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</si>
  <si>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</si>
  <si>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</si>
  <si>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</si>
  <si>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</si>
  <si>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</si>
  <si>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</si>
  <si>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</si>
  <si>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</si>
  <si>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</si>
  <si>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</si>
  <si>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</si>
  <si>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</si>
  <si>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</si>
  <si>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</si>
  <si>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</si>
  <si>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</si>
  <si>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</si>
  <si>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</si>
  <si>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</si>
  <si>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</si>
  <si>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</si>
  <si>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</si>
  <si>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</si>
  <si>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</si>
  <si>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</si>
  <si>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</si>
  <si>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</si>
  <si>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</si>
  <si>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</si>
  <si>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</si>
  <si>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</si>
  <si>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</si>
  <si>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</si>
  <si>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</si>
  <si>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</si>
  <si>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</si>
  <si>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</si>
  <si>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</si>
  <si>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</si>
  <si>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</si>
  <si>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</si>
  <si>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</si>
  <si>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</si>
  <si>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</si>
  <si>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</si>
  <si>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</si>
  <si>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</si>
  <si>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</si>
  <si>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</si>
  <si>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</si>
  <si>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</si>
  <si>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</si>
  <si>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</si>
  <si>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</si>
  <si>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</si>
  <si>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</si>
  <si>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</si>
  <si>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</si>
  <si>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</si>
  <si>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</si>
  <si>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</si>
  <si>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</si>
  <si>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</si>
  <si>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</si>
  <si>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</si>
  <si>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</si>
  <si>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</si>
  <si>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</si>
  <si>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</si>
  <si>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</si>
  <si>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</si>
  <si>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</si>
  <si>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</si>
  <si>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</si>
  <si>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</si>
  <si>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</si>
  <si>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</si>
  <si>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</si>
  <si>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</si>
  <si>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</si>
  <si>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</si>
  <si>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</si>
  <si>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</si>
  <si>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</si>
  <si>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</si>
  <si>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</si>
  <si>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</si>
  <si>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</si>
  <si>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</si>
  <si>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</si>
  <si>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</si>
  <si>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</si>
  <si>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</si>
  <si>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</si>
  <si>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</si>
  <si>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</si>
  <si>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</si>
  <si>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</si>
  <si>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</si>
  <si>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</si>
  <si>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</si>
  <si>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</si>
  <si>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</si>
  <si>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</si>
  <si>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</si>
  <si>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</si>
  <si>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</si>
  <si>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</si>
  <si>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</si>
  <si>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</si>
  <si>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</si>
  <si>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</si>
  <si>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</si>
  <si>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</si>
  <si>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</si>
  <si>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</si>
  <si>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</si>
  <si>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</si>
  <si>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</si>
  <si>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</si>
  <si>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</si>
  <si>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</si>
  <si>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</si>
  <si>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</si>
  <si>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</si>
  <si>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</si>
  <si>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</si>
  <si>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</si>
  <si>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</si>
  <si>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</si>
  <si>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</si>
  <si>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</si>
  <si>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</si>
  <si>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</si>
  <si>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</si>
  <si>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</si>
  <si>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</si>
  <si>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</si>
  <si>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</si>
  <si>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</si>
  <si>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</si>
  <si>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</si>
  <si>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</si>
  <si>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</si>
  <si>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</si>
  <si>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</si>
  <si>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</si>
  <si>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</si>
  <si>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</si>
  <si>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</si>
  <si>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</si>
  <si>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</si>
  <si>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</si>
  <si>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</si>
  <si>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</si>
  <si>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</si>
  <si>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</si>
  <si>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</si>
  <si>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</si>
  <si>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</si>
  <si>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</si>
  <si>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</si>
  <si>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</si>
  <si>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</si>
  <si>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</si>
  <si>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</si>
  <si>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</si>
  <si>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</si>
  <si>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</si>
  <si>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</si>
  <si>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</si>
  <si>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</si>
  <si>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</si>
  <si>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</si>
  <si>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</si>
  <si>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</si>
  <si>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</si>
  <si>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</si>
  <si>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</si>
  <si>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</si>
  <si>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</si>
  <si>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</si>
  <si>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</si>
  <si>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</si>
  <si>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</si>
  <si>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</si>
  <si>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</si>
  <si>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</si>
  <si>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</si>
  <si>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</si>
  <si>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</si>
  <si>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</si>
  <si>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</si>
  <si>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</si>
  <si>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</si>
  <si>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</si>
  <si>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</si>
  <si>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</si>
  <si>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</si>
  <si>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</si>
  <si>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</si>
  <si>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</si>
  <si>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</si>
  <si>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</si>
  <si>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</si>
  <si>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</si>
  <si>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</si>
  <si>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</si>
  <si>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</si>
  <si>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</si>
  <si>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Ledningsnet ≤ Ø 200 mm</t>
  </si>
  <si>
    <t>Ø 200 mm &lt; Ledningsnet ≤ Ø 500 mm</t>
  </si>
  <si>
    <t>Ø 500 mm &lt; Ledningsnet ≤ Ø 800 mm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</si>
  <si>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</si>
  <si>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</si>
  <si>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</si>
  <si>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</si>
  <si>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</si>
  <si>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</si>
  <si>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</si>
  <si>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</si>
  <si>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</si>
  <si>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</si>
  <si>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</si>
  <si>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</si>
  <si>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</si>
  <si>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</si>
  <si>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</si>
  <si>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</si>
  <si>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75</t>
  </si>
  <si>
    <t>50</t>
  </si>
  <si>
    <t>20</t>
  </si>
  <si>
    <t>10</t>
  </si>
  <si>
    <t>60</t>
  </si>
  <si>
    <t>Ingen tilknyttet virksomhed</t>
  </si>
  <si>
    <t>Spildevandsafgift</t>
  </si>
  <si>
    <t>Afgift til Forsyningssekretariatet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</si>
  <si>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</si>
  <si>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</si>
  <si>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</si>
  <si>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</si>
  <si>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</si>
  <si>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</si>
  <si>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</si>
  <si>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</si>
  <si>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</si>
  <si>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</si>
  <si>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</si>
  <si>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</si>
  <si>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</si>
  <si>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</si>
  <si>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</si>
  <si>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</si>
  <si>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</si>
  <si>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Til økonomiske rammer for 2022 og 2023</t>
  </si>
  <si>
    <t>Kontrol med overholdelse af den økonomiske ramme</t>
  </si>
  <si>
    <t>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</si>
</sst>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305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4RdySivi5eLq5FqU7V0pJrp6hs34Uk7zNmhdMRxRj02f8HxM4rkriFCciARE2FPzMePufwotsvYe3TSOg8qiQ==" saltValue="t4BJ1t3az5wqLibOdUQPr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4" t="s">
        <v>286</v>
      </c>
      <c r="C10" s="9">
        <v>1542666</v>
      </c>
      <c r="D10" s="14" t="s">
        <v>3</v>
      </c>
      <c r="E10" s="1"/>
      <c r="F10" s="1"/>
    </row>
    <row r="11" spans="1:6" x14ac:dyDescent="0.25">
      <c r="A11" s="1"/>
      <c r="B11" s="64" t="s">
        <v>287</v>
      </c>
      <c r="C11" s="9">
        <v>74470</v>
      </c>
      <c r="D11" s="14" t="s">
        <v>3</v>
      </c>
      <c r="E11" s="1"/>
      <c r="F11" s="1"/>
    </row>
    <row r="12" spans="1:6" x14ac:dyDescent="0.25">
      <c r="A12" s="1"/>
      <c r="B12" s="64" t="s">
        <v>307</v>
      </c>
      <c r="C12" s="9">
        <v>147783</v>
      </c>
      <c r="D12" s="14" t="s">
        <v>3</v>
      </c>
      <c r="E12" s="1"/>
      <c r="F12" s="1"/>
    </row>
    <row r="13" spans="1:6" x14ac:dyDescent="0.25">
      <c r="A13" s="1"/>
      <c r="B13" s="64" t="s">
        <v>288</v>
      </c>
      <c r="C13" s="9">
        <v>106731</v>
      </c>
      <c r="D13" s="14" t="s">
        <v>3</v>
      </c>
      <c r="E13" s="1"/>
      <c r="F13" s="1"/>
    </row>
    <row r="14" spans="1:6" x14ac:dyDescent="0.25">
      <c r="A14" s="1"/>
      <c r="B14" s="38" t="s">
        <v>209</v>
      </c>
      <c r="C14" s="12">
        <f>SUM(C10:C13)</f>
        <v>1871650</v>
      </c>
      <c r="D14" s="13" t="s">
        <v>3</v>
      </c>
      <c r="E14" s="1"/>
      <c r="F14" s="1"/>
    </row>
    <row r="15" spans="1:6" x14ac:dyDescent="0.25">
      <c r="A15" s="1"/>
      <c r="B15" s="38" t="s">
        <v>210</v>
      </c>
      <c r="C15" s="12">
        <f>C14*(1+'Fane 14. Nøgletal'!C14)^2</f>
        <v>1884023.2722685002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4" t="s">
        <v>142</v>
      </c>
      <c r="C18" s="95"/>
      <c r="D18" s="96"/>
      <c r="E18" s="1"/>
      <c r="F18" s="1"/>
    </row>
    <row r="19" spans="1:6" x14ac:dyDescent="0.25">
      <c r="A19" s="1"/>
      <c r="B19" s="64" t="s">
        <v>116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64" t="s">
        <v>117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154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211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4"/>
      <c r="C23" s="95"/>
      <c r="D23" s="96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4" t="s">
        <v>115</v>
      </c>
      <c r="C26" s="95"/>
      <c r="D26" s="96"/>
      <c r="E26" s="1"/>
      <c r="F26" s="1"/>
    </row>
    <row r="27" spans="1:6" x14ac:dyDescent="0.25">
      <c r="A27" s="1"/>
      <c r="B27" s="64" t="s">
        <v>116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64" t="s">
        <v>117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154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211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4"/>
      <c r="C31" s="95"/>
      <c r="D31" s="96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/ZKAIsLNVFKIQW0BLOPejvDyjEsGAM1H+fwsekzjtTbMFRh2IK0wiQJgLA09fahwgtUfroSi+idT9uclCRbpGg==" saltValue="eEI/iVCVk8XcgvbRPY7GK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60"/>
      <c r="C5" s="60"/>
      <c r="D5" s="60"/>
      <c r="E5" s="60"/>
      <c r="F5" s="60"/>
      <c r="G5" s="1"/>
    </row>
    <row r="6" spans="1:7" ht="15" customHeight="1" x14ac:dyDescent="0.25">
      <c r="A6" s="1"/>
      <c r="B6" s="60"/>
      <c r="C6" s="60"/>
      <c r="D6" s="60"/>
      <c r="E6" s="60"/>
      <c r="F6" s="6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290</v>
      </c>
      <c r="C8" s="95"/>
      <c r="D8" s="95"/>
      <c r="E8" s="95"/>
      <c r="F8" s="96"/>
      <c r="G8" s="1"/>
    </row>
    <row r="9" spans="1:7" x14ac:dyDescent="0.25">
      <c r="A9" s="1"/>
      <c r="B9" s="103" t="s">
        <v>291</v>
      </c>
      <c r="C9" s="104"/>
      <c r="D9" s="105"/>
      <c r="E9" s="9">
        <v>10577299.808169931</v>
      </c>
      <c r="F9" s="14" t="s">
        <v>3</v>
      </c>
      <c r="G9" s="1"/>
    </row>
    <row r="10" spans="1:7" x14ac:dyDescent="0.25">
      <c r="A10" s="1"/>
      <c r="B10" s="103" t="s">
        <v>292</v>
      </c>
      <c r="C10" s="104"/>
      <c r="D10" s="105"/>
      <c r="E10" s="9">
        <v>-2735217.3976527601</v>
      </c>
      <c r="F10" s="14" t="s">
        <v>3</v>
      </c>
      <c r="G10" s="1"/>
    </row>
    <row r="11" spans="1:7" x14ac:dyDescent="0.25">
      <c r="A11" s="1"/>
      <c r="B11" s="103" t="s">
        <v>293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294</v>
      </c>
      <c r="C12" s="104"/>
      <c r="D12" s="105"/>
      <c r="E12" s="9">
        <v>1922752.5147461593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295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296</v>
      </c>
      <c r="C16" s="95"/>
      <c r="D16" s="95"/>
      <c r="E16" s="95"/>
      <c r="F16" s="96"/>
      <c r="G16" s="1"/>
    </row>
    <row r="17" spans="1:7" x14ac:dyDescent="0.25">
      <c r="A17" s="1"/>
      <c r="B17" s="103" t="s">
        <v>297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298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299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5" t="s">
        <v>213</v>
      </c>
      <c r="C22" s="56"/>
      <c r="D22" s="56"/>
      <c r="E22" s="56"/>
      <c r="F22" s="57"/>
      <c r="G22" s="1"/>
    </row>
    <row r="23" spans="1:7" x14ac:dyDescent="0.25">
      <c r="A23" s="1"/>
      <c r="B23" s="61" t="s">
        <v>214</v>
      </c>
      <c r="C23" s="62"/>
      <c r="D23" s="63"/>
      <c r="E23" s="9">
        <v>100803568.46073399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106231940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8" t="s">
        <v>300</v>
      </c>
      <c r="C26" s="59"/>
      <c r="D26" s="66"/>
      <c r="E26" s="48">
        <f>E23-(E24-E25)</f>
        <v>-5428371.5392660052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5" t="s">
        <v>304</v>
      </c>
      <c r="C31" s="116"/>
      <c r="D31" s="117"/>
      <c r="E31" s="9">
        <v>1</v>
      </c>
      <c r="F31" s="14"/>
      <c r="G31" s="1"/>
    </row>
    <row r="32" spans="1:7" x14ac:dyDescent="0.2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2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25">
      <c r="A35" s="1"/>
      <c r="B35" s="119"/>
      <c r="C35" s="120"/>
      <c r="D35" s="120"/>
      <c r="E35" s="120"/>
      <c r="F35" s="121"/>
      <c r="G35" s="1"/>
    </row>
    <row r="36" spans="1:7" ht="75" customHeight="1" x14ac:dyDescent="0.25">
      <c r="A36" s="1"/>
      <c r="B36" s="97" t="s">
        <v>303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8R5qBgsHdQ02sGDzfZZGhbJhd8m1ND2VOQpYq23qy8M8OOWK3AfUrGJ61oWcoZg3mtYq0LMFaWxBSFKqTWMJsg==" saltValue="AptbdiXar+koPaxjrgso8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Hf6EdKS5f95vQIOn0Q7jftF0j1VUnDzZMVetfUBZ8gT8dkye4ygd3ffR9vH3iZdYCPEyYmbOAQpb2t1Eyndyw==" saltValue="tTvtyCRvF7vLFExwy4ClX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261</v>
      </c>
      <c r="C10" s="49" t="s">
        <v>280</v>
      </c>
      <c r="D10" s="9">
        <v>1000000</v>
      </c>
      <c r="E10" s="9">
        <f>IFERROR(D10/C10,0)</f>
        <v>13333.333333333334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67" t="s">
        <v>262</v>
      </c>
      <c r="C11" s="49" t="s">
        <v>280</v>
      </c>
      <c r="D11" s="9">
        <v>17391524</v>
      </c>
      <c r="E11" s="9">
        <f t="shared" ref="E11:E28" si="0">IFERROR(D11/C11,0)</f>
        <v>231886.98666666666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67" t="s">
        <v>263</v>
      </c>
      <c r="C12" s="49" t="s">
        <v>280</v>
      </c>
      <c r="D12" s="9">
        <v>1000000</v>
      </c>
      <c r="E12" s="9">
        <f t="shared" si="0"/>
        <v>13333.333333333334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67" t="s">
        <v>264</v>
      </c>
      <c r="C13" s="49" t="s">
        <v>280</v>
      </c>
      <c r="D13" s="9">
        <v>5100000</v>
      </c>
      <c r="E13" s="9">
        <f t="shared" si="0"/>
        <v>68000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67" t="s">
        <v>265</v>
      </c>
      <c r="C14" s="49" t="s">
        <v>281</v>
      </c>
      <c r="D14" s="9">
        <v>8100000</v>
      </c>
      <c r="E14" s="9">
        <f t="shared" si="0"/>
        <v>162000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67" t="s">
        <v>266</v>
      </c>
      <c r="C15" s="49" t="s">
        <v>282</v>
      </c>
      <c r="D15" s="9">
        <v>4500000</v>
      </c>
      <c r="E15" s="9">
        <f t="shared" si="0"/>
        <v>225000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67" t="s">
        <v>267</v>
      </c>
      <c r="C16" s="49" t="s">
        <v>283</v>
      </c>
      <c r="D16" s="9">
        <v>2500000</v>
      </c>
      <c r="E16" s="9">
        <f t="shared" si="0"/>
        <v>250000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67" t="s">
        <v>268</v>
      </c>
      <c r="C17" s="49" t="s">
        <v>284</v>
      </c>
      <c r="D17" s="9">
        <v>7100000</v>
      </c>
      <c r="E17" s="9">
        <f t="shared" si="0"/>
        <v>118333.33333333333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67" t="s">
        <v>269</v>
      </c>
      <c r="C18" s="49" t="s">
        <v>282</v>
      </c>
      <c r="D18" s="9">
        <v>3000000</v>
      </c>
      <c r="E18" s="9">
        <f t="shared" si="0"/>
        <v>150000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67" t="s">
        <v>270</v>
      </c>
      <c r="C19" s="49" t="s">
        <v>283</v>
      </c>
      <c r="D19" s="9">
        <v>2000000</v>
      </c>
      <c r="E19" s="9">
        <f t="shared" si="0"/>
        <v>200000</v>
      </c>
      <c r="F19" s="9">
        <v>0</v>
      </c>
      <c r="G19" s="9">
        <v>0</v>
      </c>
      <c r="H19" s="14" t="s">
        <v>3</v>
      </c>
      <c r="I19" s="1"/>
    </row>
    <row r="20" spans="1:9" ht="26.25" x14ac:dyDescent="0.25">
      <c r="A20" s="1"/>
      <c r="B20" s="67" t="s">
        <v>271</v>
      </c>
      <c r="C20" s="49" t="s">
        <v>284</v>
      </c>
      <c r="D20" s="9">
        <v>3019902</v>
      </c>
      <c r="E20" s="9">
        <f t="shared" si="0"/>
        <v>50331.7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67" t="s">
        <v>272</v>
      </c>
      <c r="C21" s="49" t="s">
        <v>282</v>
      </c>
      <c r="D21" s="9">
        <v>1500000</v>
      </c>
      <c r="E21" s="9">
        <f t="shared" si="0"/>
        <v>75000</v>
      </c>
      <c r="F21" s="9">
        <v>0</v>
      </c>
      <c r="G21" s="9">
        <v>0</v>
      </c>
      <c r="H21" s="14" t="s">
        <v>3</v>
      </c>
      <c r="I21" s="1"/>
    </row>
    <row r="22" spans="1:9" x14ac:dyDescent="0.25">
      <c r="A22" s="1"/>
      <c r="B22" s="67" t="s">
        <v>273</v>
      </c>
      <c r="C22" s="49" t="s">
        <v>283</v>
      </c>
      <c r="D22" s="9">
        <v>500000</v>
      </c>
      <c r="E22" s="9">
        <f t="shared" si="0"/>
        <v>50000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67" t="s">
        <v>274</v>
      </c>
      <c r="C23" s="49" t="s">
        <v>284</v>
      </c>
      <c r="D23" s="9">
        <v>13200000</v>
      </c>
      <c r="E23" s="9">
        <f t="shared" si="0"/>
        <v>220000</v>
      </c>
      <c r="F23" s="9">
        <v>0</v>
      </c>
      <c r="G23" s="9">
        <v>0</v>
      </c>
      <c r="H23" s="14" t="s">
        <v>3</v>
      </c>
      <c r="I23" s="1"/>
    </row>
    <row r="24" spans="1:9" x14ac:dyDescent="0.25">
      <c r="A24" s="1"/>
      <c r="B24" s="67" t="s">
        <v>275</v>
      </c>
      <c r="C24" s="49" t="s">
        <v>282</v>
      </c>
      <c r="D24" s="9">
        <v>2500000</v>
      </c>
      <c r="E24" s="9">
        <f t="shared" si="0"/>
        <v>125000</v>
      </c>
      <c r="F24" s="9">
        <v>0</v>
      </c>
      <c r="G24" s="9">
        <v>0</v>
      </c>
      <c r="H24" s="14" t="s">
        <v>3</v>
      </c>
      <c r="I24" s="1"/>
    </row>
    <row r="25" spans="1:9" x14ac:dyDescent="0.25">
      <c r="A25" s="1"/>
      <c r="B25" s="67" t="s">
        <v>276</v>
      </c>
      <c r="C25" s="49" t="s">
        <v>283</v>
      </c>
      <c r="D25" s="9">
        <v>1500000</v>
      </c>
      <c r="E25" s="9">
        <f t="shared" si="0"/>
        <v>150000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67" t="s">
        <v>277</v>
      </c>
      <c r="C26" s="49" t="s">
        <v>284</v>
      </c>
      <c r="D26" s="9">
        <v>8100000</v>
      </c>
      <c r="E26" s="9">
        <f t="shared" si="0"/>
        <v>135000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67" t="s">
        <v>278</v>
      </c>
      <c r="C27" s="49" t="s">
        <v>282</v>
      </c>
      <c r="D27" s="9">
        <v>1500000</v>
      </c>
      <c r="E27" s="9">
        <f t="shared" si="0"/>
        <v>75000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67" t="s">
        <v>279</v>
      </c>
      <c r="C28" s="49" t="s">
        <v>283</v>
      </c>
      <c r="D28" s="9">
        <v>500000</v>
      </c>
      <c r="E28" s="9">
        <f t="shared" si="0"/>
        <v>50000</v>
      </c>
      <c r="F28" s="9">
        <v>0</v>
      </c>
      <c r="G28" s="9">
        <v>0</v>
      </c>
      <c r="H28" s="14" t="s">
        <v>3</v>
      </c>
      <c r="I28" s="1"/>
    </row>
    <row r="29" spans="1:9" x14ac:dyDescent="0.25">
      <c r="A29" s="1"/>
      <c r="B29" s="94" t="s">
        <v>179</v>
      </c>
      <c r="C29" s="95"/>
      <c r="D29" s="96"/>
      <c r="E29" s="12">
        <f>SUM(E10:E28)</f>
        <v>2362218.6866666665</v>
      </c>
      <c r="F29" s="12">
        <f>SUM(F10:F28)</f>
        <v>0</v>
      </c>
      <c r="G29" s="12">
        <f>SUM(G10:G28)</f>
        <v>0</v>
      </c>
      <c r="H29" s="13" t="s">
        <v>3</v>
      </c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BTcz6pYsvS8qH0/gJVL8RLOEE/XpOtKuc2ujO2QnrKn3/VlXU9VISWHuJeCTjEi43MSTlBJ+iGt+Q7RwYDytyA==" saltValue="sy/+xqFYZHxcOmea7jcK+g==" spinCount="100000" sheet="1" objects="1" scenarios="1"/>
  <mergeCells count="3">
    <mergeCell ref="B3:H4"/>
    <mergeCell ref="B29:D29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Anlægsprojekter'!F29</f>
        <v>0</v>
      </c>
      <c r="D10" s="14" t="s">
        <v>3</v>
      </c>
      <c r="E10" s="9">
        <f>SUM('Fane 9. Anlægsprojekter'!E29,'Fane 9. Anlægsprojekter'!G29)</f>
        <v>2362218.6866666665</v>
      </c>
      <c r="F10" s="14" t="s">
        <v>3</v>
      </c>
      <c r="G10" s="1"/>
    </row>
    <row r="11" spans="1:7" x14ac:dyDescent="0.2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2362218.6866666665</v>
      </c>
      <c r="F11" s="13" t="s">
        <v>3</v>
      </c>
      <c r="G11" s="1"/>
    </row>
    <row r="12" spans="1:7" x14ac:dyDescent="0.2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2370014.0083326669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zYrgfw40t3h1JJdaasLX3jmTnBckEV+S34rWe7Y4U8Ha5Azsb0kI84k7Tw+UmKgamEoXPvG6VfsghWhCKqkXRA==" saltValue="wT+hAIe1o+vEhD96BHjDM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25">
      <c r="A10" s="1"/>
      <c r="B10" s="25" t="s">
        <v>302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25">
      <c r="A18" s="1"/>
      <c r="B18" s="25" t="s">
        <v>302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25">
      <c r="A26" s="1"/>
      <c r="B26" s="25" t="s">
        <v>302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25">
      <c r="A34" s="1"/>
      <c r="B34" s="25" t="s">
        <v>302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sLyJQg7W3n9hTaStfwK/QEzqtTzf5VvJgIqOPmYqd/OjA6AGOlwEBOuiVtuZArYBf4HBY8xVTgkERw64Y1dwg==" saltValue="esJXILv8kJo9ofITuln54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0cqTogLrvJOp1gEt/DT06JLAANar0CvjOQHYubfF51WDc1UwbDvMb9x8MoIjd/N5qAWwDP7t/ykTTaArw0vgw==" saltValue="5LHCvJiqQEul2n6Xr620WA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285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4i4V2Nfwh8CsN9xBP3K7GVYhqT7CecAgfhBpAhShZgrV1nthuCKAWCV5tsNqFJo9jz/1I4/LttD+3bpBGik9aQ==" saltValue="TlWhPKSYyRX4o9YmACqGd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289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289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289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289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YYionYzIlYKPBLKRLUpkuZFMvFsZFAgephDX7SNEkA9eT8Hc4nTF+cOWyACetYoq4QAuU3skF047b4CpTjypg==" saltValue="ePIULoRqdGSk09neMPBN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DJC6Vjbxwm1AgQ8Rwua41UiB1WeQc1J2+SZ2o3ukJj53gL+p7GB4QvWJPzwjPdxyY1XHehGn1HIkKDijKmQTQA==" saltValue="KQsFnqMe1ovN/CnKjVrQ1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98214233.188386917</v>
      </c>
      <c r="D9" s="8" t="s">
        <v>3</v>
      </c>
      <c r="E9" s="1"/>
    </row>
    <row r="10" spans="1:5" ht="17.100000000000001" customHeight="1" x14ac:dyDescent="0.25">
      <c r="A10" s="1"/>
      <c r="B10" s="52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52" t="s">
        <v>44</v>
      </c>
      <c r="C11" s="9">
        <f>'Fane 10.1. Varige tillæg'!E12</f>
        <v>2370014.0083326669</v>
      </c>
      <c r="D11" s="8" t="s">
        <v>3</v>
      </c>
      <c r="E11" s="1"/>
    </row>
    <row r="12" spans="1:5" ht="17.100000000000001" customHeight="1" x14ac:dyDescent="0.2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2" t="s">
        <v>20</v>
      </c>
      <c r="C16" s="9">
        <f>SUM(C9:C15)*'Fane 14. Nøgletal'!C14</f>
        <v>331928.01574917464</v>
      </c>
      <c r="D16" s="8" t="s">
        <v>3</v>
      </c>
      <c r="E16" s="1"/>
    </row>
    <row r="17" spans="1:5" ht="17.100000000000001" customHeight="1" x14ac:dyDescent="0.25">
      <c r="A17" s="1"/>
      <c r="B17" s="52" t="s">
        <v>10</v>
      </c>
      <c r="C17" s="9">
        <f>-SUM(C9:C16)*'Fane 5. Individuelt eff. krav'!G12</f>
        <v>-1889720.4547324155</v>
      </c>
      <c r="D17" s="8" t="s">
        <v>3</v>
      </c>
      <c r="E17" s="1"/>
    </row>
    <row r="18" spans="1:5" ht="17.100000000000001" customHeight="1" x14ac:dyDescent="0.25">
      <c r="A18" s="1"/>
      <c r="B18" s="52" t="s">
        <v>26</v>
      </c>
      <c r="C18" s="9">
        <f>-'Fane 4.1. Gen. krav - drift'!G39</f>
        <v>-645597.02199844294</v>
      </c>
      <c r="D18" s="8" t="s">
        <v>3</v>
      </c>
      <c r="E18" s="1"/>
    </row>
    <row r="19" spans="1:5" ht="17.100000000000001" customHeight="1" x14ac:dyDescent="0.25">
      <c r="A19" s="1"/>
      <c r="B19" s="52" t="s">
        <v>27</v>
      </c>
      <c r="C19" s="9">
        <f>-'Fane 4.2. Gen. krav - anlæg'!G37</f>
        <v>-1154346.7721092713</v>
      </c>
      <c r="D19" s="8" t="s">
        <v>3</v>
      </c>
      <c r="E19" s="1"/>
    </row>
    <row r="20" spans="1:5" ht="17.100000000000001" customHeight="1" x14ac:dyDescent="0.25">
      <c r="A20" s="1"/>
      <c r="B20" s="58" t="s">
        <v>22</v>
      </c>
      <c r="C20" s="10">
        <f>SUM(C9:C19)</f>
        <v>97226510.96362862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1884023.2722685002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306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99110534.235897124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eikaXuj135y/Gjvty18xft2wQveHc/SIGPy5k7EnohYQbX7e51VBF7ODtcTK/KYYedLD/y7aPFIJ6PqWnaaVw==" saltValue="sGkm2FaR46hJPVc7dA8fI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97226510.96362862</v>
      </c>
      <c r="D9" s="8" t="s">
        <v>3</v>
      </c>
      <c r="E9" s="1"/>
    </row>
    <row r="10" spans="1:5" ht="15" customHeight="1" x14ac:dyDescent="0.2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320847.48617997445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-1826637.1885340968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-634772.94232761709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-1141015.4059336649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93944932.91301322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1890240.5490669864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306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95835173.46208021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nvB2MvpRnig9y4a3316UL8DEllCH+FDv6rfq/I99/GUId2d/SY90t34BrqT8eTD8qgAXXTtjCMiRZtc3Mk/ngA==" saltValue="jwzn2DWoXOPZxIpa/gFBk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93944932.91301322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310018.2786129436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-1764984.7395783411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-624130.33917655225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-1127838.001573002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90737998.111298278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1896478.3428789075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92634476.454177186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PgwGAGYJS0uC3muTyXktxeQQey3Fr73CN2g+KfiDcPaeMpqvhH39QjvTcwKtqQlBSlXDVrFs0Yy+bKjUBb47w==" saltValue="oKRC/Am3gg5Ue6hRIAFme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90737998.111298278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299435.39376728429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-1704734.6461423223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-613666.16990991833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-1114812.7809469157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87604219.908066407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1902736.7214104082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89506956.629476815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L51sncGOOeE8yKMOZUlutV+Zql8CNZSuFSBU997FI770QdnRSYB9fkAlUfiqMhk5sKezVIZrxzsT8kWS7Om64A==" saltValue="xBr1BBk7O8kqeGzVY/fh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301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100341016.2441725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808274.09039999999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1986578.963913078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-2062717.3859697117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drift'!G33</f>
        <v>-656605.67270704929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-2202313.0514219017</v>
      </c>
      <c r="F19" s="8" t="s">
        <v>3</v>
      </c>
      <c r="G19" s="1"/>
    </row>
    <row r="20" spans="1:7" ht="15" customHeight="1" x14ac:dyDescent="0.25">
      <c r="A20" s="1"/>
      <c r="B20" s="58" t="s">
        <v>22</v>
      </c>
      <c r="C20" s="59"/>
      <c r="D20" s="66"/>
      <c r="E20" s="10">
        <f>SUM(E9:E19)</f>
        <v>98214233.188386917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6328955.3605513601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8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104543188.54893827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JHv1/94bZIXGNfIVNYs7Y+U4TzJWq2KAdkEwuNEKQ6RIcmgmfJG48i1bwDcdZnIGb8r1xlGQA5Ofu60q+AlhTA==" saltValue="DZ1rdchsuuKu6aN1MJ0rY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2" t="s">
        <v>130</v>
      </c>
      <c r="C1" s="102"/>
      <c r="D1" s="102"/>
      <c r="E1" s="102"/>
      <c r="F1" s="102"/>
      <c r="G1" s="102"/>
      <c r="H1" s="102"/>
      <c r="I1" s="1"/>
    </row>
    <row r="2" spans="1:9" ht="28.5" customHeight="1" x14ac:dyDescent="0.25">
      <c r="A2" s="1"/>
      <c r="B2" s="102"/>
      <c r="C2" s="102"/>
      <c r="D2" s="102"/>
      <c r="E2" s="102"/>
      <c r="F2" s="102"/>
      <c r="G2" s="102"/>
      <c r="H2" s="102"/>
      <c r="I2" s="1"/>
    </row>
    <row r="3" spans="1:9" ht="14.25" customHeight="1" x14ac:dyDescent="0.25">
      <c r="A3" s="1"/>
      <c r="B3" s="42"/>
      <c r="C3" s="42"/>
      <c r="D3" s="42"/>
      <c r="E3" s="42"/>
      <c r="F3" s="42"/>
      <c r="G3" s="42"/>
      <c r="H3" s="42"/>
      <c r="I3" s="1"/>
    </row>
    <row r="4" spans="1:9" x14ac:dyDescent="0.2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33064096</v>
      </c>
      <c r="H5" s="14" t="s">
        <v>3</v>
      </c>
      <c r="I5" s="1"/>
    </row>
    <row r="6" spans="1:9" x14ac:dyDescent="0.2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661281.92000000004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32969863.326400001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24">
        <v>0.33474496857263153</v>
      </c>
      <c r="H12" s="14" t="s">
        <v>3</v>
      </c>
      <c r="I12" s="1"/>
    </row>
    <row r="13" spans="1:9" x14ac:dyDescent="0.2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2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659397.27322289941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32875899.549710706</v>
      </c>
      <c r="H19" s="14" t="s">
        <v>3</v>
      </c>
      <c r="I19" s="1"/>
    </row>
    <row r="20" spans="1:9" x14ac:dyDescent="0.2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657517.99099421408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32853083.675423209</v>
      </c>
      <c r="H25" s="14" t="s">
        <v>3</v>
      </c>
      <c r="I25" s="1"/>
    </row>
    <row r="26" spans="1:9" x14ac:dyDescent="0.25">
      <c r="A26" s="1"/>
      <c r="B26" s="106" t="s">
        <v>54</v>
      </c>
      <c r="C26" s="107"/>
      <c r="D26" s="107"/>
      <c r="E26" s="107"/>
      <c r="F26" s="108"/>
      <c r="G26" s="9">
        <v>0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657061.67350846424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32830283.635352466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9">
        <v>0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656605.67270704929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32279851.099922147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9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645597.02199844294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31738647.116380855</v>
      </c>
      <c r="H43" s="14" t="s">
        <v>3</v>
      </c>
      <c r="I43" s="1"/>
    </row>
    <row r="44" spans="1:9" x14ac:dyDescent="0.25">
      <c r="A44" s="1"/>
      <c r="B44" s="109" t="s">
        <v>237</v>
      </c>
      <c r="C44" s="110"/>
      <c r="D44" s="110"/>
      <c r="E44" s="110"/>
      <c r="F44" s="111"/>
      <c r="G44" s="9">
        <f>G38*(1+'Fane 14. Nøgletal'!C14)</f>
        <v>0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634772.94232761709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31206516.958827615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624130.33917655225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30683308.495495915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9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613666.16990991833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h/pDmFeGvc7wLNE7hZ49RPMv9ADeRPBPZ9u06ZUGtZzS4O2sPlBFEnP4UjHISwRdxd8l4i8bjn1dVVu7aOlk4g==" saltValue="UXKS+Tu2ABqdSx8Jdo7T5g==" spinCount="100000" sheet="1" objects="1" scenarios="1"/>
  <mergeCells count="37">
    <mergeCell ref="B57:H57"/>
    <mergeCell ref="B51:H51"/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54:F54"/>
    <mergeCell ref="B37:F37"/>
    <mergeCell ref="B30:H30"/>
    <mergeCell ref="B31:F31"/>
    <mergeCell ref="B36:H36"/>
    <mergeCell ref="B18:H18"/>
    <mergeCell ref="B14:F14"/>
    <mergeCell ref="B15:F15"/>
    <mergeCell ref="B19:F19"/>
    <mergeCell ref="B20:F20"/>
    <mergeCell ref="B21:F21"/>
    <mergeCell ref="B25:F25"/>
    <mergeCell ref="B26:F26"/>
    <mergeCell ref="B27:F27"/>
    <mergeCell ref="B11:F11"/>
    <mergeCell ref="B10:H10"/>
    <mergeCell ref="B6:F6"/>
    <mergeCell ref="B1:H2"/>
    <mergeCell ref="B24:H24"/>
    <mergeCell ref="B4:H4"/>
    <mergeCell ref="B5:F5"/>
    <mergeCell ref="B7:F7"/>
    <mergeCell ref="B12:F12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75171293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684058.76630000002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75790760.832789764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298171.34789582557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1346774.0995981351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76050145.847506493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115654.20279361997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1347093.7730651696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76292634.790896475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1178735.8008312117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2200186.9248050665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76754025.985161006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818135.03430287994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2202313.0514219017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75618568.466336533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2377835.0545601649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1154346.7721092713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77095635.536058441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2385681.9102402139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1141015.4059336649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76205270.376554191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1127838.001573002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75325187.901818633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1114812.7809469157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L/JOyIe9opsBjAnLPfPVXjQOUI7ryX/G8txeSPKyAtoqUDJNvQM29Qn7i/5ea5EHHP+QqlcIMKFtmrEiMrjk5g==" saltValue="Kyw2rMAYSbkzIRPAKouDz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5.3043895116008108E-3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0.02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0.02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1.8725644831007526E-2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InZytVi1gXrGFrVdKKzycIiurLMFvIB7Wu1B2bs8XYDty1DJ40JAHqTnVAUiwgNQJnx3sY7ShW/5A93gOsmTKQ==" saltValue="QIyznXZvxAkK4/ys9alrt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2021-10-29T12:03:48Z</dcterms:modified>
</cp:coreProperties>
</file>